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drawingml.chart+xml" PartName="/xl/charts/chart1.xml"/>
  <Override ContentType="application/vnd.openxmlformats-officedocument.drawingml.chart+xml" PartName="/xl/charts/chart2.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ver" sheetId="1" r:id="rId4"/>
    <sheet state="visible" name="Assumptions" sheetId="2" r:id="rId5"/>
    <sheet state="visible" name="Revenue" sheetId="3" r:id="rId6"/>
    <sheet state="visible" name="Inventory" sheetId="4" r:id="rId7"/>
    <sheet state="visible" name="OpEx" sheetId="5" r:id="rId8"/>
    <sheet state="visible" name="3 Statements" sheetId="6" r:id="rId9"/>
    <sheet state="visible" name="Dashboard" sheetId="7" r:id="rId10"/>
    <sheet state="visible" name="Checks" sheetId="8" r:id="rId11"/>
  </sheets>
  <definedNames/>
  <calcPr/>
  <extLst>
    <ext uri="GoogleSheetsCustomDataVersion2">
      <go:sheetsCustomData xmlns:go="http://customooxmlschemas.google.com/" r:id="rId12" roundtripDataChecksum="RR174imMkdxQRwQIb+/K+i1w8CbOmnWXdupgs+nm1oQ="/>
    </ext>
  </extLst>
</workbook>
</file>

<file path=xl/sharedStrings.xml><?xml version="1.0" encoding="utf-8"?>
<sst xmlns="http://schemas.openxmlformats.org/spreadsheetml/2006/main" count="480" uniqueCount="225">
  <si>
    <t>Revenue Build</t>
  </si>
  <si>
    <t>### | Anonymized Operating Model</t>
  </si>
  <si>
    <t>Assumptions</t>
  </si>
  <si>
    <t>Purpose</t>
  </si>
  <si>
    <t>Channel volume × SKU mix × net price; scenario multipliers are applied explicitly</t>
  </si>
  <si>
    <t>Yellow cells are editable placeholders; the selected scenario drives revenue and cost multipliers</t>
  </si>
  <si>
    <t>A driver-based model connecting channel demand, SKU mix, pricing, unit economics, inventory purchasing, working capital and cash runway.</t>
  </si>
  <si>
    <t>Model owner</t>
  </si>
  <si>
    <t>Vandit K</t>
  </si>
  <si>
    <t>Version</t>
  </si>
  <si>
    <t>Forecast period</t>
  </si>
  <si>
    <t>$ unless noted</t>
  </si>
  <si>
    <t>Jan–Dec 2027</t>
  </si>
  <si>
    <t>Source / unit</t>
  </si>
  <si>
    <t>Currency</t>
  </si>
  <si>
    <t>Jan-27</t>
  </si>
  <si>
    <t>USD</t>
  </si>
  <si>
    <t>Feb-27</t>
  </si>
  <si>
    <t>Mar-27</t>
  </si>
  <si>
    <t>Apr-27</t>
  </si>
  <si>
    <t>May-27</t>
  </si>
  <si>
    <t>Scenario</t>
  </si>
  <si>
    <t>Jun-27</t>
  </si>
  <si>
    <t>Jul-27</t>
  </si>
  <si>
    <t>Aug-27</t>
  </si>
  <si>
    <t>Sep-27</t>
  </si>
  <si>
    <t>Oct-27</t>
  </si>
  <si>
    <t>Nov-27</t>
  </si>
  <si>
    <t>Dec-27</t>
  </si>
  <si>
    <t>Selected scenario</t>
  </si>
  <si>
    <t>DTC volume</t>
  </si>
  <si>
    <t>Base</t>
  </si>
  <si>
    <t>Gross units</t>
  </si>
  <si>
    <t>units</t>
  </si>
  <si>
    <t>Inventory &amp; Purchasing</t>
  </si>
  <si>
    <t>Model status</t>
  </si>
  <si>
    <t>Last updated</t>
  </si>
  <si>
    <t>Demand-driven unit roll-forward with target stock coverage and cash purchasing implications</t>
  </si>
  <si>
    <t>How to update</t>
  </si>
  <si>
    <t>1. Choose Base, Upside or Downside in Assumptions!B4.
2. Replace yellow input cells on Assumptions with sanitized values.
3. Review Revenue and Inventory build mechanics.
4. Replace operating expense assumptions.
5. Confirm all Checks show OK before sharing.
6. Do not add confidential names, customer data, vendor terms or exact internal figures.</t>
  </si>
  <si>
    <t>Scenario multipliers</t>
  </si>
  <si>
    <t>Color convention: blue font / yellow fill = input; black font = formula; green = model check passed; red = attention required.</t>
  </si>
  <si>
    <t>Active multipliers</t>
  </si>
  <si>
    <t>Volume</t>
  </si>
  <si>
    <t>Price</t>
  </si>
  <si>
    <t>Unit cost</t>
  </si>
  <si>
    <t>OpEx</t>
  </si>
  <si>
    <t>Wholesale volume</t>
  </si>
  <si>
    <t>Core</t>
  </si>
  <si>
    <t>Demand</t>
  </si>
  <si>
    <t>Upside</t>
  </si>
  <si>
    <t>Downside</t>
  </si>
  <si>
    <t>Marketplace volume</t>
  </si>
  <si>
    <t>Channel demand assumptions</t>
  </si>
  <si>
    <t>Channel</t>
  </si>
  <si>
    <t>Starting monthly units</t>
  </si>
  <si>
    <t>Monthly growth</t>
  </si>
  <si>
    <t>Returns / discounts</t>
  </si>
  <si>
    <t>AR days</t>
  </si>
  <si>
    <t>Notes</t>
  </si>
  <si>
    <t>DTC</t>
  </si>
  <si>
    <t>Shopify / direct</t>
  </si>
  <si>
    <t>Wholesale</t>
  </si>
  <si>
    <t>Retail and distributors</t>
  </si>
  <si>
    <t>Marketplace</t>
  </si>
  <si>
    <t>Units by SKU and channel</t>
  </si>
  <si>
    <t>Beginning inventory</t>
  </si>
  <si>
    <t>DTC - Core</t>
  </si>
  <si>
    <t>Third-party marketplace</t>
  </si>
  <si>
    <t>SKU economics and mix</t>
  </si>
  <si>
    <t>SKU</t>
  </si>
  <si>
    <t>DTC ASP</t>
  </si>
  <si>
    <t>Wholesale ASP</t>
  </si>
  <si>
    <t>Marketplace ASP</t>
  </si>
  <si>
    <t>Unit COGS</t>
  </si>
  <si>
    <t>Demand mix</t>
  </si>
  <si>
    <t>Opening inventory</t>
  </si>
  <si>
    <t>Premium</t>
  </si>
  <si>
    <t>Target ending inventory</t>
  </si>
  <si>
    <t>Accessory</t>
  </si>
  <si>
    <t>Inventory and working capital</t>
  </si>
  <si>
    <t>Driver</t>
  </si>
  <si>
    <t>Value</t>
  </si>
  <si>
    <t>Unit</t>
  </si>
  <si>
    <t>Where used</t>
  </si>
  <si>
    <t>Inventory target</t>
  </si>
  <si>
    <t>days</t>
  </si>
  <si>
    <t>Inventory</t>
  </si>
  <si>
    <t>Target ending units</t>
  </si>
  <si>
    <t>Supplier lead time</t>
  </si>
  <si>
    <t>Informational / planning</t>
  </si>
  <si>
    <t>Supplier payment terms</t>
  </si>
  <si>
    <t>DTC - Premium</t>
  </si>
  <si>
    <t>3 Statements</t>
  </si>
  <si>
    <t>Accounts payable</t>
  </si>
  <si>
    <t>Minimum cash balance</t>
  </si>
  <si>
    <t>$</t>
  </si>
  <si>
    <t>Dashboard</t>
  </si>
  <si>
    <t>Liquidity threshold</t>
  </si>
  <si>
    <t>Opening cash</t>
  </si>
  <si>
    <t>Start of forecast</t>
  </si>
  <si>
    <t>Operating expense assumptions</t>
  </si>
  <si>
    <t>Expense</t>
  </si>
  <si>
    <t>Starting monthly</t>
  </si>
  <si>
    <t>Fixed / variable</t>
  </si>
  <si>
    <t>Payroll</t>
  </si>
  <si>
    <t>Fixed</t>
  </si>
  <si>
    <t>Salary, tax and benefits</t>
  </si>
  <si>
    <t>Marketing</t>
  </si>
  <si>
    <t>Variable</t>
  </si>
  <si>
    <t>Media and creative</t>
  </si>
  <si>
    <t>DTC - Accessory</t>
  </si>
  <si>
    <t>Fulfillment overhead</t>
  </si>
  <si>
    <t>3PL platform and storage</t>
  </si>
  <si>
    <t>Required purchases</t>
  </si>
  <si>
    <t>Technology</t>
  </si>
  <si>
    <t>Software and systems</t>
  </si>
  <si>
    <t>G&amp;A</t>
  </si>
  <si>
    <t>Professional and office</t>
  </si>
  <si>
    <t>Capex</t>
  </si>
  <si>
    <t>Investing</t>
  </si>
  <si>
    <t>Equipment / tooling</t>
  </si>
  <si>
    <t>Opening balance sheet</t>
  </si>
  <si>
    <t>Item</t>
  </si>
  <si>
    <t>Opening balance</t>
  </si>
  <si>
    <t>Accounts receivable</t>
  </si>
  <si>
    <t>Opening current asset</t>
  </si>
  <si>
    <t>Wholesale - Core</t>
  </si>
  <si>
    <t>Other current assets</t>
  </si>
  <si>
    <t>Ending inventory</t>
  </si>
  <si>
    <t>Net fixed assets</t>
  </si>
  <si>
    <t>Opening non-current asset</t>
  </si>
  <si>
    <t>Opening current liability</t>
  </si>
  <si>
    <t>Other current liabilities</t>
  </si>
  <si>
    <t>Opening equity</t>
  </si>
  <si>
    <t>Inventory value</t>
  </si>
  <si>
    <t>Calculated balancing value</t>
  </si>
  <si>
    <t>Wholesale - Premium</t>
  </si>
  <si>
    <t>Wholesale - Accessory</t>
  </si>
  <si>
    <t>Operating Expenses</t>
  </si>
  <si>
    <t>Monthly expense plan driven by starting run rate, growth and scenario multiplier</t>
  </si>
  <si>
    <t>Marketplace - Core</t>
  </si>
  <si>
    <t>Operating expenses</t>
  </si>
  <si>
    <t>Marketplace - Premium</t>
  </si>
  <si>
    <t>Marketplace - Accessory</t>
  </si>
  <si>
    <t>Total units</t>
  </si>
  <si>
    <t>Gross sales by SKU and channel</t>
  </si>
  <si>
    <t>Three-Statement Forecast</t>
  </si>
  <si>
    <t>Simplified integrated forecast; cash is the balancing output, not a balance-sheet plug</t>
  </si>
  <si>
    <t>Income statement</t>
  </si>
  <si>
    <t>Net revenue</t>
  </si>
  <si>
    <t>Product COGS</t>
  </si>
  <si>
    <t>Gross profit</t>
  </si>
  <si>
    <t>Gross margin</t>
  </si>
  <si>
    <t>%</t>
  </si>
  <si>
    <t>EBITDA</t>
  </si>
  <si>
    <t>Depreciation</t>
  </si>
  <si>
    <t>EBIT</t>
  </si>
  <si>
    <t>Taxes</t>
  </si>
  <si>
    <t>Net income</t>
  </si>
  <si>
    <t>Total OpEx</t>
  </si>
  <si>
    <t>Balance sheet</t>
  </si>
  <si>
    <t>Cash</t>
  </si>
  <si>
    <t>Consolidated inventory and COGS</t>
  </si>
  <si>
    <t>Gross sales</t>
  </si>
  <si>
    <t>Purchases</t>
  </si>
  <si>
    <t>Total assets</t>
  </si>
  <si>
    <t>Inventory days</t>
  </si>
  <si>
    <t>Growth</t>
  </si>
  <si>
    <t>Total liabilities</t>
  </si>
  <si>
    <t>Contributed capital</t>
  </si>
  <si>
    <t>Net ASP</t>
  </si>
  <si>
    <t>$/unit</t>
  </si>
  <si>
    <t>Lead time</t>
  </si>
  <si>
    <t>Retained earnings</t>
  </si>
  <si>
    <t>Total equity</t>
  </si>
  <si>
    <t>Total liabilities &amp; equity</t>
  </si>
  <si>
    <t>Balance check</t>
  </si>
  <si>
    <t>Cash flow statement</t>
  </si>
  <si>
    <t>Coverage buffer</t>
  </si>
  <si>
    <t>Change in accounts receivable</t>
  </si>
  <si>
    <t>Change in inventory</t>
  </si>
  <si>
    <t>Change in accounts payable</t>
  </si>
  <si>
    <t>Cash from operations</t>
  </si>
  <si>
    <t>Cash from investing</t>
  </si>
  <si>
    <t>Net change in cash</t>
  </si>
  <si>
    <t>Ending cash</t>
  </si>
  <si>
    <t>Model Checks</t>
  </si>
  <si>
    <t>All required controls should show OK before the workbook is shared</t>
  </si>
  <si>
    <t>MODEL STATUS</t>
  </si>
  <si>
    <t>Check</t>
  </si>
  <si>
    <t>Actual</t>
  </si>
  <si>
    <t>Expected</t>
  </si>
  <si>
    <t>Difference</t>
  </si>
  <si>
    <t>Tolerance</t>
  </si>
  <si>
    <t>Status</t>
  </si>
  <si>
    <t>Where to fix</t>
  </si>
  <si>
    <t>Balance sheet balances</t>
  </si>
  <si>
    <t>3 Statements row 32</t>
  </si>
  <si>
    <t>Cash roll-forward ties</t>
  </si>
  <si>
    <t>3 Statements rows 19 and 44</t>
  </si>
  <si>
    <t>SKU demand mix totals 100%</t>
  </si>
  <si>
    <t>Assumptions F20:F22</t>
  </si>
  <si>
    <t>Scenario is valid</t>
  </si>
  <si>
    <t>Assumptions B4</t>
  </si>
  <si>
    <t>Inventory never negative</t>
  </si>
  <si>
    <t>Inventory ending units</t>
  </si>
  <si>
    <t>Gross margin within 0–100%</t>
  </si>
  <si>
    <t>Revenue / COGS assumptions</t>
  </si>
  <si>
    <t>Ending cash above minimum</t>
  </si>
  <si>
    <t>Growth, OpEx or financing</t>
  </si>
  <si>
    <t>Revenue components tie</t>
  </si>
  <si>
    <t>Revenue rows 28:42</t>
  </si>
  <si>
    <t>Executive Dashboard</t>
  </si>
  <si>
    <t>Month</t>
  </si>
  <si>
    <t>Revenue</t>
  </si>
  <si>
    <t>Decision view: growth, profitability, inventory and liquidity under the selected scenario</t>
  </si>
  <si>
    <t>Revenue growth (Dec vs Jan)</t>
  </si>
  <si>
    <t>FY revenue</t>
  </si>
  <si>
    <t>Lowest cash balance</t>
  </si>
  <si>
    <t>FY gross margin</t>
  </si>
  <si>
    <t>Minimum cash threshold</t>
  </si>
  <si>
    <t>FY EBITDA</t>
  </si>
  <si>
    <t>Peak inventory</t>
  </si>
  <si>
    <t>Monthly outlook</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</si>
</sst>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yyyy-mm-dd"/>
    <numFmt numFmtId="165" formatCode="#,##0;[Red](#,##0);-"/>
    <numFmt numFmtId="166" formatCode="0.00x"/>
    <numFmt numFmtId="167" formatCode="0.0%;[Red](0.0%);-"/>
    <numFmt numFmtId="168" formatCode="0.0%"/>
    <numFmt numFmtId="169" formatCode="$#,##0;[Red]($#,##0);-"/>
    <numFmt numFmtId="170" formatCode="0.0"/>
  </numFmts>
  <fonts count="10">
    <font>
      <sz val="11.0"/>
      <color rgb="FF000000"/>
      <name val="Carlito"/>
      <scheme val="minor"/>
    </font>
    <font>
      <b/>
      <sz val="16.0"/>
      <color rgb="FFFFFFFF"/>
      <name val="Carlito"/>
    </font>
    <font/>
    <font>
      <i/>
      <sz val="10.0"/>
      <color rgb="FF666666"/>
      <name val="Carlito"/>
    </font>
    <font>
      <b/>
      <sz val="11.0"/>
      <color rgb="FFFFFFFF"/>
      <name val="Carlito"/>
    </font>
    <font>
      <sz val="11.0"/>
      <color theme="1"/>
      <name val="Carlito"/>
    </font>
    <font>
      <color theme="1"/>
      <name val="Carlito"/>
      <scheme val="minor"/>
    </font>
    <font>
      <b/>
      <sz val="11.0"/>
      <color theme="1"/>
      <name val="Carlito"/>
    </font>
    <font>
      <sz val="11.0"/>
      <color rgb="FF0000FF"/>
      <name val="Carlito"/>
    </font>
    <font>
      <b/>
      <sz val="14.0"/>
      <color theme="1"/>
      <name val="Carlito"/>
    </font>
  </fonts>
  <fills count="7">
    <fill>
      <patternFill patternType="none"/>
    </fill>
    <fill>
      <patternFill patternType="lightGray"/>
    </fill>
    <fill>
      <patternFill patternType="solid">
        <fgColor rgb="FF17365D"/>
        <bgColor rgb="FF17365D"/>
      </patternFill>
    </fill>
    <fill>
      <patternFill patternType="solid">
        <fgColor rgb="FF1F4E78"/>
        <bgColor rgb="FF1F4E78"/>
      </patternFill>
    </fill>
    <fill>
      <patternFill patternType="solid">
        <fgColor rgb="FFE7E6E6"/>
        <bgColor rgb="FFE7E6E6"/>
      </patternFill>
    </fill>
    <fill>
      <patternFill patternType="solid">
        <fgColor rgb="FFFFF2CC"/>
        <bgColor rgb="FFFFF2CC"/>
      </patternFill>
    </fill>
    <fill>
      <patternFill patternType="solid">
        <fgColor rgb="FFD9EAF7"/>
        <bgColor rgb="FFD9EAF7"/>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48">
    <xf borderId="0" fillId="0" fontId="0" numFmtId="0" xfId="0" applyAlignment="1" applyFont="1">
      <alignment readingOrder="0" shrinkToFit="0" vertical="bottom" wrapText="0"/>
    </xf>
    <xf borderId="1" fillId="2" fontId="1" numFmtId="0" xfId="0" applyAlignment="1" applyBorder="1" applyFill="1" applyFont="1">
      <alignment vertical="center"/>
    </xf>
    <xf borderId="0" fillId="2" fontId="1" numFmtId="0" xfId="0" applyAlignment="1" applyFill="1" applyFont="1">
      <alignment readingOrder="0" vertical="center"/>
    </xf>
    <xf borderId="2" fillId="0" fontId="2" numFmtId="0" xfId="0" applyBorder="1" applyFont="1"/>
    <xf borderId="0" fillId="0" fontId="3" numFmtId="0" xfId="0" applyFont="1"/>
    <xf borderId="3" fillId="0" fontId="2" numFmtId="0" xfId="0" applyBorder="1" applyFont="1"/>
    <xf borderId="0" fillId="3" fontId="4" numFmtId="0" xfId="0" applyFill="1" applyFont="1"/>
    <xf borderId="1" fillId="0" fontId="3" numFmtId="0" xfId="0" applyBorder="1" applyFont="1"/>
    <xf borderId="0" fillId="0" fontId="5" numFmtId="0" xfId="0" applyAlignment="1" applyFont="1">
      <alignment readingOrder="0" shrinkToFit="0" vertical="top" wrapText="1"/>
    </xf>
    <xf borderId="4" fillId="0" fontId="6" numFmtId="0" xfId="0" applyBorder="1" applyFont="1"/>
    <xf borderId="0" fillId="4" fontId="7" numFmtId="0" xfId="0" applyFill="1" applyFont="1"/>
    <xf borderId="0" fillId="0" fontId="6" numFmtId="0" xfId="0" applyFont="1"/>
    <xf borderId="0" fillId="0" fontId="6" numFmtId="0" xfId="0" applyAlignment="1" applyFont="1">
      <alignment readingOrder="0"/>
    </xf>
    <xf borderId="4" fillId="4" fontId="7" numFmtId="0" xfId="0" applyAlignment="1" applyBorder="1" applyFill="1" applyFont="1">
      <alignment horizontal="right"/>
    </xf>
    <xf borderId="1" fillId="3" fontId="4" numFmtId="0" xfId="0" applyBorder="1" applyFill="1" applyFont="1"/>
    <xf borderId="4" fillId="5" fontId="8" numFmtId="0" xfId="0" applyAlignment="1" applyBorder="1" applyFill="1" applyFont="1">
      <alignment readingOrder="0"/>
    </xf>
    <xf borderId="0" fillId="0" fontId="6" numFmtId="164" xfId="0" applyAlignment="1" applyFont="1" applyNumberFormat="1">
      <alignment horizontal="left" readingOrder="0"/>
    </xf>
    <xf borderId="4" fillId="0" fontId="5" numFmtId="165" xfId="0" applyBorder="1" applyFont="1" applyNumberFormat="1"/>
    <xf borderId="0" fillId="0" fontId="5" numFmtId="0" xfId="0" applyAlignment="1" applyFont="1">
      <alignment shrinkToFit="0" vertical="top" wrapText="1"/>
    </xf>
    <xf borderId="0" fillId="6" fontId="5" numFmtId="0" xfId="0" applyAlignment="1" applyFill="1" applyFont="1">
      <alignment shrinkToFit="0" wrapText="1"/>
    </xf>
    <xf borderId="4" fillId="4" fontId="7" numFmtId="0" xfId="0" applyBorder="1" applyFill="1" applyFont="1"/>
    <xf borderId="4" fillId="0" fontId="5" numFmtId="166" xfId="0" applyBorder="1" applyFont="1" applyNumberFormat="1"/>
    <xf borderId="4" fillId="5" fontId="8" numFmtId="166" xfId="0" applyBorder="1" applyFill="1" applyFont="1" applyNumberFormat="1"/>
    <xf borderId="4" fillId="5" fontId="8" numFmtId="165" xfId="0" applyAlignment="1" applyBorder="1" applyFill="1" applyFont="1" applyNumberFormat="1">
      <alignment readingOrder="0"/>
    </xf>
    <xf borderId="4" fillId="5" fontId="8" numFmtId="167" xfId="0" applyBorder="1" applyFill="1" applyFont="1" applyNumberFormat="1"/>
    <xf borderId="4" fillId="5" fontId="8" numFmtId="168" xfId="0" applyAlignment="1" applyBorder="1" applyFill="1" applyFont="1" applyNumberFormat="1">
      <alignment readingOrder="0"/>
    </xf>
    <xf borderId="4" fillId="5" fontId="8" numFmtId="0" xfId="0" applyBorder="1" applyFill="1" applyFont="1"/>
    <xf borderId="4" fillId="5" fontId="8" numFmtId="10" xfId="0" applyAlignment="1" applyBorder="1" applyFill="1" applyFont="1" applyNumberFormat="1">
      <alignment readingOrder="0"/>
    </xf>
    <xf borderId="4" fillId="5" fontId="8" numFmtId="165" xfId="0" applyBorder="1" applyFill="1" applyFont="1" applyNumberFormat="1"/>
    <xf borderId="4" fillId="5" fontId="8" numFmtId="9" xfId="0" applyAlignment="1" applyBorder="1" applyFill="1" applyFont="1" applyNumberFormat="1">
      <alignment readingOrder="0"/>
    </xf>
    <xf borderId="4" fillId="5" fontId="8" numFmtId="169" xfId="0" applyBorder="1" applyFill="1" applyFont="1" applyNumberFormat="1"/>
    <xf borderId="4" fillId="5" fontId="8" numFmtId="169" xfId="0" applyAlignment="1" applyBorder="1" applyFill="1" applyFont="1" applyNumberFormat="1">
      <alignment readingOrder="0"/>
    </xf>
    <xf borderId="4" fillId="0" fontId="5" numFmtId="169" xfId="0" applyBorder="1" applyFont="1" applyNumberFormat="1"/>
    <xf borderId="4" fillId="0" fontId="7" numFmtId="0" xfId="0" applyBorder="1" applyFont="1"/>
    <xf borderId="4" fillId="0" fontId="7" numFmtId="165" xfId="0" applyBorder="1" applyFont="1" applyNumberFormat="1"/>
    <xf borderId="0" fillId="2" fontId="1" numFmtId="0" xfId="0" applyAlignment="1" applyFill="1" applyFont="1">
      <alignment vertical="center"/>
    </xf>
    <xf borderId="0" fillId="4" fontId="7" numFmtId="0" xfId="0" applyAlignment="1" applyFill="1" applyFont="1">
      <alignment horizontal="right"/>
    </xf>
    <xf borderId="0" fillId="0" fontId="5" numFmtId="169" xfId="0" applyFont="1" applyNumberFormat="1"/>
    <xf borderId="0" fillId="0" fontId="7" numFmtId="0" xfId="0" applyFont="1"/>
    <xf borderId="0" fillId="0" fontId="7" numFmtId="169" xfId="0" applyFont="1" applyNumberFormat="1"/>
    <xf borderId="0" fillId="0" fontId="5" numFmtId="167" xfId="0" applyFont="1" applyNumberFormat="1"/>
    <xf borderId="4" fillId="0" fontId="7" numFmtId="169" xfId="0" applyBorder="1" applyFont="1" applyNumberFormat="1"/>
    <xf borderId="4" fillId="0" fontId="5" numFmtId="167" xfId="0" applyBorder="1" applyFont="1" applyNumberFormat="1"/>
    <xf borderId="4" fillId="0" fontId="5" numFmtId="170" xfId="0" applyBorder="1" applyFont="1" applyNumberFormat="1"/>
    <xf borderId="0" fillId="4" fontId="9" numFmtId="0" xfId="0" applyFill="1" applyFont="1"/>
    <xf borderId="0" fillId="0" fontId="5" numFmtId="2" xfId="0" applyFont="1" applyNumberFormat="1"/>
    <xf borderId="0" fillId="0" fontId="6" numFmtId="169" xfId="0" applyFont="1" applyNumberFormat="1"/>
    <xf borderId="0" fillId="4" fontId="7" numFmtId="0" xfId="0" applyAlignment="1" applyFill="1" applyFont="1">
      <alignment shrinkToFit="0" wrapText="1"/>
    </xf>
  </cellXfs>
  <cellStyles count="1">
    <cellStyle xfId="0" name="Normal" builtinId="0"/>
  </cellStyles>
  <dxfs count="2">
    <dxf>
      <font>
        <b/>
        <color rgb="FF006100"/>
      </font>
      <fill>
        <patternFill patternType="solid">
          <fgColor rgb="FFE2F0D9"/>
          <bgColor rgb="FFE2F0D9"/>
        </patternFill>
      </fill>
      <border/>
    </dxf>
    <dxf>
      <font>
        <b/>
        <color rgb="FFC00000"/>
      </font>
      <fill>
        <patternFill patternType="solid">
          <fgColor rgb="FFFFC7CE"/>
          <bgColor rgb="FFFFC7C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a:solidFill>
                  <a:srgbClr val="757575"/>
                </a:solidFill>
                <a:latin typeface="+mn-lt"/>
              </a:defRPr>
            </a:pPr>
            <a:r>
              <a:rPr b="0">
                <a:solidFill>
                  <a:srgbClr val="757575"/>
                </a:solidFill>
                <a:latin typeface="+mn-lt"/>
              </a:rPr>
              <a:t>Monthly Net Revenue ($)</a:t>
            </a:r>
          </a:p>
        </c:rich>
      </c:tx>
      <c:overlay val="0"/>
    </c:title>
    <c:plotArea>
      <c:layout/>
      <c:lineChart>
        <c:varyColors val="0"/>
        <c:ser>
          <c:idx val="0"/>
          <c:order val="0"/>
          <c:tx>
            <c:v>Revenue</c:v>
          </c:tx>
          <c:spPr>
            <a:ln cmpd="sng">
              <a:solidFill>
                <a:srgbClr val="156082"/>
              </a:solidFill>
            </a:ln>
          </c:spPr>
          <c:marker>
            <c:symbol val="none"/>
          </c:marker>
          <c:cat>
            <c:strRef>
              <c:f>Dashboard!$P$2:$P$13</c:f>
            </c:strRef>
          </c:cat>
          <c:val>
            <c:numRef>
              <c:f>Dashboard!$Q$2:$Q$13</c:f>
              <c:numCache/>
            </c:numRef>
          </c:val>
          <c:smooth val="0"/>
        </c:ser>
        <c:axId val="1657685480"/>
        <c:axId val="666124909"/>
      </c:lineChart>
      <c:catAx>
        <c:axId val="1657685480"/>
        <c:scaling>
          <c:orientation val="minMax"/>
        </c:scaling>
        <c:delete val="0"/>
        <c:axPos val="b"/>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0"/>
        <c:majorTickMark val="none"/>
        <c:minorTickMark val="none"/>
        <c:spPr>
          <a:ln>
            <a:noFill/>
          </a:ln>
        </c:spPr>
        <c:txPr>
          <a:bodyPr/>
          <a:lstStyle/>
          <a:p>
            <a:pPr lvl="0">
              <a:defRPr b="0">
                <a:solidFill>
                  <a:srgbClr val="000000"/>
                </a:solidFill>
                <a:latin typeface="+mn-lt"/>
              </a:defRPr>
            </a:pPr>
          </a:p>
        </c:txPr>
        <c:crossAx val="666124909"/>
      </c:catAx>
      <c:valAx>
        <c:axId val="666124909"/>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657685480"/>
      </c:valAx>
    </c:plotArea>
    <c:plotVisOnly val="1"/>
  </c:chart>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a:solidFill>
                  <a:srgbClr val="757575"/>
                </a:solidFill>
                <a:latin typeface="+mn-lt"/>
              </a:defRPr>
            </a:pPr>
            <a:r>
              <a:rPr b="0">
                <a:solidFill>
                  <a:srgbClr val="757575"/>
                </a:solidFill>
                <a:latin typeface="+mn-lt"/>
              </a:rPr>
              <a:t>Cash and Inventory Outlook ($)</a:t>
            </a:r>
          </a:p>
        </c:rich>
      </c:tx>
      <c:overlay val="0"/>
    </c:title>
    <c:plotArea>
      <c:layout/>
      <c:lineChart>
        <c:ser>
          <c:idx val="0"/>
          <c:order val="0"/>
          <c:tx>
            <c:v>Cash</c:v>
          </c:tx>
          <c:spPr>
            <a:ln cmpd="sng">
              <a:solidFill>
                <a:srgbClr val="156082"/>
              </a:solidFill>
            </a:ln>
          </c:spPr>
          <c:marker>
            <c:symbol val="none"/>
          </c:marker>
          <c:cat>
            <c:strRef>
              <c:f>Dashboard!$T$2:$T$13</c:f>
            </c:strRef>
          </c:cat>
          <c:val>
            <c:numRef>
              <c:f>Dashboard!$U$2:$U$13</c:f>
              <c:numCache/>
            </c:numRef>
          </c:val>
          <c:smooth val="0"/>
        </c:ser>
        <c:ser>
          <c:idx val="1"/>
          <c:order val="1"/>
          <c:tx>
            <c:v>Inventory</c:v>
          </c:tx>
          <c:spPr>
            <a:ln cmpd="sng">
              <a:solidFill>
                <a:srgbClr val="E97132"/>
              </a:solidFill>
            </a:ln>
          </c:spPr>
          <c:marker>
            <c:symbol val="none"/>
          </c:marker>
          <c:cat>
            <c:strRef>
              <c:f>Dashboard!$T$2:$T$13</c:f>
            </c:strRef>
          </c:cat>
          <c:val>
            <c:numRef>
              <c:f>Dashboard!$V$2:$V$13</c:f>
              <c:numCache/>
            </c:numRef>
          </c:val>
          <c:smooth val="0"/>
        </c:ser>
        <c:axId val="1232149713"/>
        <c:axId val="1692520195"/>
      </c:lineChart>
      <c:catAx>
        <c:axId val="1232149713"/>
        <c:scaling>
          <c:orientation val="minMax"/>
        </c:scaling>
        <c:delete val="0"/>
        <c:axPos val="b"/>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0"/>
        <c:majorTickMark val="none"/>
        <c:minorTickMark val="none"/>
        <c:spPr>
          <a:ln>
            <a:noFill/>
          </a:ln>
        </c:spPr>
        <c:txPr>
          <a:bodyPr/>
          <a:lstStyle/>
          <a:p>
            <a:pPr lvl="0">
              <a:defRPr b="0">
                <a:solidFill>
                  <a:srgbClr val="000000"/>
                </a:solidFill>
                <a:latin typeface="+mn-lt"/>
              </a:defRPr>
            </a:pPr>
          </a:p>
        </c:txPr>
        <c:crossAx val="1692520195"/>
      </c:catAx>
      <c:valAx>
        <c:axId val="1692520195"/>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0" sourceLinked="0"/>
        <c:majorTickMark val="none"/>
        <c:minorTickMark val="none"/>
        <c:tickLblPos val="nextTo"/>
        <c:spPr>
          <a:ln>
            <a:noFill/>
          </a:ln>
        </c:spPr>
        <c:txPr>
          <a:bodyPr/>
          <a:lstStyle/>
          <a:p>
            <a:pPr lvl="0">
              <a:defRPr b="0">
                <a:solidFill>
                  <a:srgbClr val="000000"/>
                </a:solidFill>
                <a:latin typeface="+mn-lt"/>
              </a:defRPr>
            </a:pPr>
          </a:p>
        </c:txPr>
        <c:crossAx val="1232149713"/>
      </c:valAx>
    </c:plotArea>
    <c:legend>
      <c:legendPos val="b"/>
      <c:overlay val="0"/>
      <c:txPr>
        <a:bodyPr/>
        <a:lstStyle/>
        <a:p>
          <a:pPr lvl="0">
            <a:defRPr b="0">
              <a:solidFill>
                <a:srgbClr val="1A1A1A"/>
              </a:solidFill>
              <a:latin typeface="+mn-lt"/>
            </a:defRPr>
          </a:pPr>
        </a:p>
      </c:txPr>
    </c:legend>
    <c:plotVisOnly val="1"/>
  </c:chart>
</c:chartSpace>
</file>

<file path=xl/drawings/_rels/drawing7.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18</xdr:row>
      <xdr:rowOff>0</xdr:rowOff>
    </xdr:from>
    <xdr:ext cx="8534400" cy="3200400"/>
    <xdr:graphicFrame>
      <xdr:nvGraphicFramePr>
        <xdr:cNvPr id="567088759" name="Chart 1"/>
        <xdr:cNvGraphicFramePr/>
      </xdr:nvGraphicFramePr>
      <xdr:xfrm>
        <a:off x="0" y="0"/>
        <a:ext cx="0" cy="0"/>
      </xdr:xfrm>
      <a:graphic>
        <a:graphicData uri="http://schemas.openxmlformats.org/drawingml/2006/chart">
          <c:chart r:id="rId1"/>
        </a:graphicData>
      </a:graphic>
    </xdr:graphicFrame>
    <xdr:clientData fLocksWithSheet="0"/>
  </xdr:oneCellAnchor>
  <xdr:oneCellAnchor>
    <xdr:from>
      <xdr:col>7</xdr:col>
      <xdr:colOff>0</xdr:colOff>
      <xdr:row>18</xdr:row>
      <xdr:rowOff>0</xdr:rowOff>
    </xdr:from>
    <xdr:ext cx="6934200" cy="3200400"/>
    <xdr:graphicFrame>
      <xdr:nvGraphicFramePr>
        <xdr:cNvPr id="962874271" name="Chart 2"/>
        <xdr:cNvGraphicFramePr/>
      </xdr:nvGraphicFramePr>
      <xdr:xfrm>
        <a:off x="0" y="0"/>
        <a:ext cx="0" cy="0"/>
      </xdr:xfrm>
      <a:graphic>
        <a:graphicData uri="http://schemas.openxmlformats.org/drawingml/2006/chart">
          <c:chart r:id="rId2"/>
        </a:graphicData>
      </a:graphic>
    </xdr:graphicFrame>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8.0"/>
    <col customWidth="1" min="2" max="2" width="22.0"/>
    <col customWidth="1" min="3" max="8" width="18.0"/>
    <col customWidth="1" min="9" max="26" width="8.63"/>
  </cols>
  <sheetData>
    <row r="1" ht="27.75" customHeight="1">
      <c r="A1" s="2" t="s">
        <v>1</v>
      </c>
    </row>
    <row r="2" ht="21.75" customHeight="1">
      <c r="A2" s="4"/>
    </row>
    <row r="4">
      <c r="A4" s="6" t="s">
        <v>3</v>
      </c>
    </row>
    <row r="5">
      <c r="A5" s="8" t="s">
        <v>6</v>
      </c>
    </row>
    <row r="9">
      <c r="A9" s="10" t="s">
        <v>7</v>
      </c>
      <c r="B9" s="11" t="s">
        <v>8</v>
      </c>
    </row>
    <row r="10">
      <c r="A10" s="10" t="s">
        <v>9</v>
      </c>
      <c r="B10" s="12">
        <v>2.0</v>
      </c>
    </row>
    <row r="11">
      <c r="A11" s="10" t="s">
        <v>10</v>
      </c>
      <c r="B11" s="11" t="s">
        <v>12</v>
      </c>
    </row>
    <row r="12">
      <c r="A12" s="10" t="s">
        <v>14</v>
      </c>
      <c r="B12" s="11" t="s">
        <v>16</v>
      </c>
    </row>
    <row r="13">
      <c r="A13" s="10" t="s">
        <v>21</v>
      </c>
      <c r="B13" s="11" t="str">
        <f>Assumptions!B4</f>
        <v>Base</v>
      </c>
    </row>
    <row r="14">
      <c r="A14" s="10" t="s">
        <v>35</v>
      </c>
      <c r="B14" s="11" t="str">
        <f>Checks!B3</f>
        <v>PASS</v>
      </c>
    </row>
    <row r="15">
      <c r="A15" s="10" t="s">
        <v>36</v>
      </c>
      <c r="B15" s="16">
        <v>46197.0</v>
      </c>
    </row>
    <row r="17">
      <c r="A17" s="6" t="s">
        <v>38</v>
      </c>
    </row>
    <row r="18">
      <c r="A18" s="18" t="s">
        <v>39</v>
      </c>
    </row>
    <row r="21" ht="15.75" customHeight="1"/>
    <row r="22" ht="15.75" customHeight="1"/>
    <row r="23" ht="15.75" customHeight="1"/>
    <row r="24" ht="15.75" customHeight="1"/>
    <row r="25" ht="15.75" customHeight="1">
      <c r="A25" s="19" t="s">
        <v>41</v>
      </c>
    </row>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1:N1"/>
    <mergeCell ref="A2:N2"/>
    <mergeCell ref="A4:H4"/>
    <mergeCell ref="A5:H7"/>
    <mergeCell ref="A17:H17"/>
    <mergeCell ref="A18:H23"/>
    <mergeCell ref="A25:H27"/>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1.0"/>
    <col customWidth="1" min="2" max="2" width="16.0"/>
    <col customWidth="1" min="3" max="6" width="13.0"/>
    <col customWidth="1" min="7" max="7" width="15.13"/>
    <col customWidth="1" min="8" max="14" width="13.0"/>
    <col customWidth="1" min="15" max="26" width="8.63"/>
  </cols>
  <sheetData>
    <row r="1" ht="27.75" customHeight="1">
      <c r="A1" s="1" t="s">
        <v>2</v>
      </c>
      <c r="B1" s="3"/>
      <c r="C1" s="3"/>
      <c r="D1" s="3"/>
      <c r="E1" s="3"/>
      <c r="F1" s="3"/>
      <c r="G1" s="3"/>
      <c r="H1" s="3"/>
      <c r="I1" s="3"/>
      <c r="J1" s="3"/>
      <c r="K1" s="3"/>
      <c r="L1" s="3"/>
      <c r="M1" s="3"/>
      <c r="N1" s="5"/>
    </row>
    <row r="2" ht="21.75" customHeight="1">
      <c r="A2" s="7" t="s">
        <v>5</v>
      </c>
      <c r="B2" s="3"/>
      <c r="C2" s="3"/>
      <c r="D2" s="3"/>
      <c r="E2" s="3"/>
      <c r="F2" s="3"/>
      <c r="G2" s="3"/>
      <c r="H2" s="3"/>
      <c r="I2" s="3"/>
      <c r="J2" s="3"/>
      <c r="K2" s="3"/>
      <c r="L2" s="3"/>
      <c r="M2" s="3"/>
      <c r="N2" s="5"/>
    </row>
    <row r="3">
      <c r="A3" s="9"/>
      <c r="B3" s="9"/>
      <c r="C3" s="9"/>
      <c r="D3" s="9"/>
      <c r="E3" s="9"/>
      <c r="F3" s="9"/>
      <c r="G3" s="9"/>
      <c r="H3" s="9"/>
      <c r="I3" s="9"/>
      <c r="J3" s="9"/>
      <c r="K3" s="9"/>
      <c r="L3" s="9"/>
      <c r="M3" s="9"/>
      <c r="N3" s="9"/>
    </row>
    <row r="4">
      <c r="A4" s="9" t="s">
        <v>29</v>
      </c>
      <c r="B4" s="15" t="s">
        <v>31</v>
      </c>
      <c r="C4" s="9"/>
      <c r="D4" s="9"/>
      <c r="E4" s="9"/>
      <c r="F4" s="9"/>
      <c r="G4" s="9"/>
      <c r="H4" s="9"/>
      <c r="I4" s="9"/>
      <c r="J4" s="9"/>
      <c r="K4" s="9"/>
      <c r="L4" s="9"/>
      <c r="M4" s="9"/>
      <c r="N4" s="9"/>
    </row>
    <row r="5">
      <c r="A5" s="9"/>
      <c r="B5" s="9"/>
      <c r="C5" s="9"/>
      <c r="D5" s="9"/>
      <c r="E5" s="9"/>
      <c r="F5" s="9"/>
      <c r="G5" s="9"/>
      <c r="H5" s="9"/>
      <c r="I5" s="9"/>
      <c r="J5" s="9"/>
      <c r="K5" s="9"/>
      <c r="L5" s="9"/>
      <c r="M5" s="9"/>
      <c r="N5" s="9"/>
    </row>
    <row r="6" ht="19.5" customHeight="1">
      <c r="A6" s="14" t="s">
        <v>40</v>
      </c>
      <c r="B6" s="3"/>
      <c r="C6" s="3"/>
      <c r="D6" s="3"/>
      <c r="E6" s="5"/>
      <c r="F6" s="9"/>
      <c r="G6" s="14" t="s">
        <v>42</v>
      </c>
      <c r="H6" s="5"/>
      <c r="I6" s="9"/>
      <c r="J6" s="9"/>
      <c r="K6" s="9"/>
      <c r="L6" s="9"/>
      <c r="M6" s="9"/>
      <c r="N6" s="9"/>
    </row>
    <row r="7">
      <c r="A7" s="20" t="s">
        <v>21</v>
      </c>
      <c r="B7" s="20" t="s">
        <v>43</v>
      </c>
      <c r="C7" s="20" t="s">
        <v>44</v>
      </c>
      <c r="D7" s="20" t="s">
        <v>45</v>
      </c>
      <c r="E7" s="20" t="s">
        <v>46</v>
      </c>
      <c r="F7" s="9"/>
      <c r="G7" s="9" t="s">
        <v>43</v>
      </c>
      <c r="H7" s="21">
        <f>IF($B$4="Base",$B$8,IF($B$4="Upside",$B$9,$B$10))</f>
        <v>1</v>
      </c>
      <c r="I7" s="9"/>
      <c r="J7" s="9"/>
      <c r="K7" s="9"/>
      <c r="L7" s="9"/>
      <c r="M7" s="9"/>
      <c r="N7" s="9"/>
    </row>
    <row r="8">
      <c r="A8" s="9" t="s">
        <v>31</v>
      </c>
      <c r="B8" s="22">
        <v>1.0</v>
      </c>
      <c r="C8" s="22">
        <v>1.0</v>
      </c>
      <c r="D8" s="22">
        <v>1.0</v>
      </c>
      <c r="E8" s="22">
        <v>1.0</v>
      </c>
      <c r="F8" s="9"/>
      <c r="G8" s="9" t="s">
        <v>44</v>
      </c>
      <c r="H8" s="21">
        <f>IF($B$4="Base",$C$8,IF($B$4="Upside",$C$9,$C$10))</f>
        <v>1</v>
      </c>
      <c r="I8" s="9"/>
      <c r="J8" s="9"/>
      <c r="K8" s="9"/>
      <c r="L8" s="9"/>
      <c r="M8" s="9"/>
      <c r="N8" s="9"/>
    </row>
    <row r="9">
      <c r="A9" s="9" t="s">
        <v>50</v>
      </c>
      <c r="B9" s="22">
        <v>1.15</v>
      </c>
      <c r="C9" s="22">
        <v>1.03</v>
      </c>
      <c r="D9" s="22">
        <v>0.97</v>
      </c>
      <c r="E9" s="22">
        <v>1.05</v>
      </c>
      <c r="F9" s="9"/>
      <c r="G9" s="9" t="s">
        <v>45</v>
      </c>
      <c r="H9" s="21">
        <f>IF($B$4="Base",$D$8,IF($B$4="Upside",$D$9,$D$10))</f>
        <v>1</v>
      </c>
      <c r="I9" s="9"/>
      <c r="J9" s="9"/>
      <c r="K9" s="9"/>
      <c r="L9" s="9"/>
      <c r="M9" s="9"/>
      <c r="N9" s="9"/>
    </row>
    <row r="10">
      <c r="A10" s="9" t="s">
        <v>51</v>
      </c>
      <c r="B10" s="22">
        <v>0.8</v>
      </c>
      <c r="C10" s="22">
        <v>0.97</v>
      </c>
      <c r="D10" s="22">
        <v>1.08</v>
      </c>
      <c r="E10" s="22">
        <v>0.95</v>
      </c>
      <c r="F10" s="9"/>
      <c r="G10" s="9" t="s">
        <v>46</v>
      </c>
      <c r="H10" s="21">
        <f>IF($B$4="Base",$E$8,IF($B$4="Upside",$E$9,$E$10))</f>
        <v>1</v>
      </c>
      <c r="I10" s="9"/>
      <c r="J10" s="9"/>
      <c r="K10" s="9"/>
      <c r="L10" s="9"/>
      <c r="M10" s="9"/>
      <c r="N10" s="9"/>
    </row>
    <row r="11">
      <c r="A11" s="9"/>
      <c r="B11" s="9"/>
      <c r="C11" s="9"/>
      <c r="D11" s="9"/>
      <c r="E11" s="9"/>
      <c r="F11" s="9"/>
      <c r="G11" s="9"/>
      <c r="H11" s="9"/>
      <c r="I11" s="9"/>
      <c r="J11" s="9"/>
      <c r="K11" s="9"/>
      <c r="L11" s="9"/>
      <c r="M11" s="9"/>
      <c r="N11" s="9"/>
    </row>
    <row r="12" ht="19.5" customHeight="1">
      <c r="A12" s="14" t="s">
        <v>53</v>
      </c>
      <c r="B12" s="3"/>
      <c r="C12" s="3"/>
      <c r="D12" s="3"/>
      <c r="E12" s="3"/>
      <c r="F12" s="5"/>
      <c r="G12" s="9"/>
      <c r="H12" s="9"/>
      <c r="I12" s="9"/>
      <c r="J12" s="9"/>
      <c r="K12" s="9"/>
      <c r="L12" s="9"/>
      <c r="M12" s="9"/>
      <c r="N12" s="9"/>
    </row>
    <row r="13">
      <c r="A13" s="20" t="s">
        <v>54</v>
      </c>
      <c r="B13" s="20" t="s">
        <v>55</v>
      </c>
      <c r="C13" s="20" t="s">
        <v>56</v>
      </c>
      <c r="D13" s="20" t="s">
        <v>57</v>
      </c>
      <c r="E13" s="20" t="s">
        <v>58</v>
      </c>
      <c r="F13" s="20" t="s">
        <v>59</v>
      </c>
      <c r="G13" s="9"/>
      <c r="H13" s="9"/>
      <c r="I13" s="9"/>
      <c r="J13" s="9"/>
      <c r="K13" s="9"/>
      <c r="L13" s="9"/>
      <c r="M13" s="9"/>
      <c r="N13" s="9"/>
    </row>
    <row r="14">
      <c r="A14" s="9" t="s">
        <v>60</v>
      </c>
      <c r="B14" s="23">
        <v>1900.0</v>
      </c>
      <c r="C14" s="24">
        <v>0.04</v>
      </c>
      <c r="D14" s="25">
        <v>0.032</v>
      </c>
      <c r="E14" s="26">
        <v>3.0</v>
      </c>
      <c r="F14" s="9" t="s">
        <v>61</v>
      </c>
      <c r="G14" s="9"/>
      <c r="H14" s="9"/>
      <c r="I14" s="9"/>
      <c r="J14" s="9"/>
      <c r="K14" s="9"/>
      <c r="L14" s="9"/>
      <c r="M14" s="9"/>
      <c r="N14" s="9"/>
    </row>
    <row r="15">
      <c r="A15" s="9" t="s">
        <v>62</v>
      </c>
      <c r="B15" s="23">
        <v>700.0</v>
      </c>
      <c r="C15" s="24">
        <v>0.03</v>
      </c>
      <c r="D15" s="27">
        <v>0.012</v>
      </c>
      <c r="E15" s="26">
        <v>30.0</v>
      </c>
      <c r="F15" s="9" t="s">
        <v>63</v>
      </c>
      <c r="G15" s="9"/>
      <c r="H15" s="9"/>
      <c r="I15" s="9"/>
      <c r="J15" s="9"/>
      <c r="K15" s="9"/>
      <c r="L15" s="9"/>
      <c r="M15" s="9"/>
      <c r="N15" s="9"/>
    </row>
    <row r="16">
      <c r="A16" s="9" t="s">
        <v>64</v>
      </c>
      <c r="B16" s="28">
        <v>350.0</v>
      </c>
      <c r="C16" s="24">
        <v>0.025</v>
      </c>
      <c r="D16" s="29">
        <v>0.05</v>
      </c>
      <c r="E16" s="26">
        <v>14.0</v>
      </c>
      <c r="F16" s="9" t="s">
        <v>68</v>
      </c>
      <c r="G16" s="9"/>
      <c r="H16" s="9"/>
      <c r="I16" s="9"/>
      <c r="J16" s="9"/>
      <c r="K16" s="9"/>
      <c r="L16" s="9"/>
      <c r="M16" s="9"/>
      <c r="N16" s="9"/>
    </row>
    <row r="17">
      <c r="A17" s="9"/>
      <c r="B17" s="9"/>
      <c r="C17" s="9"/>
      <c r="D17" s="9"/>
      <c r="E17" s="9"/>
      <c r="F17" s="9"/>
      <c r="G17" s="9"/>
      <c r="H17" s="9"/>
      <c r="I17" s="9"/>
      <c r="J17" s="9"/>
      <c r="K17" s="9"/>
      <c r="L17" s="9"/>
      <c r="M17" s="9"/>
      <c r="N17" s="9"/>
    </row>
    <row r="18" ht="19.5" customHeight="1">
      <c r="A18" s="14" t="s">
        <v>69</v>
      </c>
      <c r="B18" s="3"/>
      <c r="C18" s="3"/>
      <c r="D18" s="3"/>
      <c r="E18" s="3"/>
      <c r="F18" s="3"/>
      <c r="G18" s="5"/>
      <c r="H18" s="9"/>
      <c r="I18" s="9"/>
      <c r="J18" s="9"/>
      <c r="K18" s="9"/>
      <c r="L18" s="9"/>
      <c r="M18" s="9"/>
      <c r="N18" s="9"/>
    </row>
    <row r="19">
      <c r="A19" s="20" t="s">
        <v>70</v>
      </c>
      <c r="B19" s="20" t="s">
        <v>71</v>
      </c>
      <c r="C19" s="20" t="s">
        <v>72</v>
      </c>
      <c r="D19" s="20" t="s">
        <v>73</v>
      </c>
      <c r="E19" s="20" t="s">
        <v>74</v>
      </c>
      <c r="F19" s="20" t="s">
        <v>75</v>
      </c>
      <c r="G19" s="20" t="s">
        <v>76</v>
      </c>
      <c r="H19" s="9"/>
      <c r="I19" s="9"/>
      <c r="J19" s="9"/>
      <c r="K19" s="9"/>
      <c r="L19" s="9"/>
      <c r="M19" s="9"/>
      <c r="N19" s="9"/>
    </row>
    <row r="20">
      <c r="A20" s="9" t="s">
        <v>48</v>
      </c>
      <c r="B20" s="30">
        <v>95.0</v>
      </c>
      <c r="C20" s="30">
        <v>52.0</v>
      </c>
      <c r="D20" s="30">
        <v>82.0</v>
      </c>
      <c r="E20" s="30">
        <v>24.0</v>
      </c>
      <c r="F20" s="24">
        <v>0.55</v>
      </c>
      <c r="G20" s="28">
        <v>1400.0</v>
      </c>
      <c r="H20" s="9"/>
      <c r="I20" s="9"/>
      <c r="J20" s="9"/>
      <c r="K20" s="9"/>
      <c r="L20" s="9"/>
      <c r="M20" s="9"/>
      <c r="N20" s="9"/>
    </row>
    <row r="21" ht="15.75" customHeight="1">
      <c r="A21" s="9" t="s">
        <v>77</v>
      </c>
      <c r="B21" s="30">
        <v>145.0</v>
      </c>
      <c r="C21" s="30">
        <v>79.0</v>
      </c>
      <c r="D21" s="30">
        <v>125.0</v>
      </c>
      <c r="E21" s="30">
        <v>38.0</v>
      </c>
      <c r="F21" s="24">
        <v>0.3</v>
      </c>
      <c r="G21" s="28">
        <v>650.0</v>
      </c>
      <c r="H21" s="9"/>
      <c r="I21" s="9"/>
      <c r="J21" s="9"/>
      <c r="K21" s="9"/>
      <c r="L21" s="9"/>
      <c r="M21" s="9"/>
      <c r="N21" s="9"/>
    </row>
    <row r="22" ht="15.75" customHeight="1">
      <c r="A22" s="9" t="s">
        <v>79</v>
      </c>
      <c r="B22" s="30">
        <v>45.0</v>
      </c>
      <c r="C22" s="30">
        <v>25.0</v>
      </c>
      <c r="D22" s="30">
        <v>39.0</v>
      </c>
      <c r="E22" s="30">
        <v>11.0</v>
      </c>
      <c r="F22" s="24">
        <v>0.15</v>
      </c>
      <c r="G22" s="28">
        <v>900.0</v>
      </c>
      <c r="H22" s="9"/>
      <c r="I22" s="9"/>
      <c r="J22" s="9"/>
      <c r="K22" s="9"/>
      <c r="L22" s="9"/>
      <c r="M22" s="9"/>
      <c r="N22" s="9"/>
    </row>
    <row r="23" ht="15.75" customHeight="1">
      <c r="A23" s="9"/>
      <c r="B23" s="9"/>
      <c r="C23" s="9"/>
      <c r="D23" s="9"/>
      <c r="E23" s="9"/>
      <c r="F23" s="9"/>
      <c r="G23" s="9"/>
      <c r="H23" s="9"/>
      <c r="I23" s="9"/>
      <c r="J23" s="9"/>
      <c r="K23" s="9"/>
      <c r="L23" s="9"/>
      <c r="M23" s="9"/>
      <c r="N23" s="9"/>
    </row>
    <row r="24" ht="19.5" customHeight="1">
      <c r="A24" s="14" t="s">
        <v>80</v>
      </c>
      <c r="B24" s="3"/>
      <c r="C24" s="3"/>
      <c r="D24" s="3"/>
      <c r="E24" s="5"/>
      <c r="F24" s="9"/>
      <c r="G24" s="9"/>
      <c r="H24" s="9"/>
      <c r="I24" s="9"/>
      <c r="J24" s="9"/>
      <c r="K24" s="9"/>
      <c r="L24" s="9"/>
      <c r="M24" s="9"/>
      <c r="N24" s="9"/>
    </row>
    <row r="25" ht="15.75" customHeight="1">
      <c r="A25" s="20" t="s">
        <v>81</v>
      </c>
      <c r="B25" s="20" t="s">
        <v>82</v>
      </c>
      <c r="C25" s="20" t="s">
        <v>83</v>
      </c>
      <c r="D25" s="20" t="s">
        <v>84</v>
      </c>
      <c r="E25" s="20" t="s">
        <v>59</v>
      </c>
      <c r="F25" s="9"/>
      <c r="G25" s="9"/>
      <c r="H25" s="9"/>
      <c r="I25" s="9"/>
      <c r="J25" s="9"/>
      <c r="K25" s="9"/>
      <c r="L25" s="9"/>
      <c r="M25" s="9"/>
      <c r="N25" s="9"/>
    </row>
    <row r="26" ht="15.75" customHeight="1">
      <c r="A26" s="9" t="s">
        <v>85</v>
      </c>
      <c r="B26" s="26">
        <v>75.0</v>
      </c>
      <c r="C26" s="9" t="s">
        <v>86</v>
      </c>
      <c r="D26" s="9" t="s">
        <v>87</v>
      </c>
      <c r="E26" s="9" t="s">
        <v>88</v>
      </c>
      <c r="F26" s="9"/>
      <c r="G26" s="9"/>
      <c r="H26" s="9"/>
      <c r="I26" s="9"/>
      <c r="J26" s="9"/>
      <c r="K26" s="9"/>
      <c r="L26" s="9"/>
      <c r="M26" s="9"/>
      <c r="N26" s="9"/>
    </row>
    <row r="27" ht="15.75" customHeight="1">
      <c r="A27" s="9" t="s">
        <v>89</v>
      </c>
      <c r="B27" s="26">
        <v>45.0</v>
      </c>
      <c r="C27" s="9" t="s">
        <v>86</v>
      </c>
      <c r="D27" s="9" t="s">
        <v>87</v>
      </c>
      <c r="E27" s="9" t="s">
        <v>90</v>
      </c>
      <c r="F27" s="9"/>
      <c r="G27" s="9"/>
      <c r="H27" s="9"/>
      <c r="I27" s="9"/>
      <c r="J27" s="9"/>
      <c r="K27" s="9"/>
      <c r="L27" s="9"/>
      <c r="M27" s="9"/>
      <c r="N27" s="9"/>
    </row>
    <row r="28" ht="15.75" customHeight="1">
      <c r="A28" s="9" t="s">
        <v>91</v>
      </c>
      <c r="B28" s="26">
        <v>30.0</v>
      </c>
      <c r="C28" s="9" t="s">
        <v>86</v>
      </c>
      <c r="D28" s="9" t="s">
        <v>93</v>
      </c>
      <c r="E28" s="9" t="s">
        <v>94</v>
      </c>
      <c r="F28" s="9"/>
      <c r="G28" s="9"/>
      <c r="H28" s="9"/>
      <c r="I28" s="9"/>
      <c r="J28" s="9"/>
      <c r="K28" s="9"/>
      <c r="L28" s="9"/>
      <c r="M28" s="9"/>
      <c r="N28" s="9"/>
    </row>
    <row r="29" ht="15.75" customHeight="1">
      <c r="A29" s="9" t="s">
        <v>95</v>
      </c>
      <c r="B29" s="30">
        <v>100000.0</v>
      </c>
      <c r="C29" s="9" t="s">
        <v>96</v>
      </c>
      <c r="D29" s="9" t="s">
        <v>97</v>
      </c>
      <c r="E29" s="9" t="s">
        <v>98</v>
      </c>
      <c r="F29" s="9"/>
      <c r="G29" s="9"/>
      <c r="H29" s="9"/>
      <c r="I29" s="9"/>
      <c r="J29" s="9"/>
      <c r="K29" s="9"/>
      <c r="L29" s="9"/>
      <c r="M29" s="9"/>
      <c r="N29" s="9"/>
    </row>
    <row r="30" ht="15.75" customHeight="1">
      <c r="A30" s="9" t="s">
        <v>99</v>
      </c>
      <c r="B30" s="31">
        <v>2100000.0</v>
      </c>
      <c r="C30" s="9" t="s">
        <v>96</v>
      </c>
      <c r="D30" s="9" t="s">
        <v>93</v>
      </c>
      <c r="E30" s="9" t="s">
        <v>100</v>
      </c>
      <c r="F30" s="9"/>
      <c r="G30" s="9"/>
      <c r="H30" s="9"/>
      <c r="I30" s="9"/>
      <c r="J30" s="9"/>
      <c r="K30" s="9"/>
      <c r="L30" s="9"/>
      <c r="M30" s="9"/>
      <c r="N30" s="9"/>
    </row>
    <row r="31" ht="15.75" customHeight="1">
      <c r="A31" s="9"/>
      <c r="B31" s="9"/>
      <c r="C31" s="9"/>
      <c r="D31" s="9"/>
      <c r="E31" s="9"/>
      <c r="F31" s="9"/>
      <c r="G31" s="9"/>
      <c r="H31" s="9"/>
      <c r="I31" s="9"/>
      <c r="J31" s="9"/>
      <c r="K31" s="9"/>
      <c r="L31" s="9"/>
      <c r="M31" s="9"/>
      <c r="N31" s="9"/>
    </row>
    <row r="32" ht="19.5" customHeight="1">
      <c r="A32" s="14" t="s">
        <v>101</v>
      </c>
      <c r="B32" s="3"/>
      <c r="C32" s="3"/>
      <c r="D32" s="3"/>
      <c r="E32" s="5"/>
      <c r="F32" s="9"/>
      <c r="G32" s="9"/>
      <c r="H32" s="9"/>
      <c r="I32" s="9"/>
      <c r="J32" s="9"/>
      <c r="K32" s="9"/>
      <c r="L32" s="9"/>
      <c r="M32" s="9"/>
      <c r="N32" s="9"/>
    </row>
    <row r="33" ht="15.75" customHeight="1">
      <c r="A33" s="20" t="s">
        <v>102</v>
      </c>
      <c r="B33" s="20" t="s">
        <v>103</v>
      </c>
      <c r="C33" s="20" t="s">
        <v>56</v>
      </c>
      <c r="D33" s="20" t="s">
        <v>104</v>
      </c>
      <c r="E33" s="20" t="s">
        <v>59</v>
      </c>
      <c r="F33" s="9"/>
      <c r="G33" s="9"/>
      <c r="H33" s="9"/>
      <c r="I33" s="9"/>
      <c r="J33" s="9"/>
      <c r="K33" s="9"/>
      <c r="L33" s="9"/>
      <c r="M33" s="9"/>
      <c r="N33" s="9"/>
    </row>
    <row r="34" ht="15.75" customHeight="1">
      <c r="A34" s="9" t="s">
        <v>105</v>
      </c>
      <c r="B34" s="30">
        <v>115000.0</v>
      </c>
      <c r="C34" s="24">
        <v>0.02</v>
      </c>
      <c r="D34" s="9" t="s">
        <v>106</v>
      </c>
      <c r="E34" s="9" t="s">
        <v>107</v>
      </c>
      <c r="F34" s="9"/>
      <c r="G34" s="9"/>
      <c r="H34" s="9"/>
      <c r="I34" s="9"/>
      <c r="J34" s="9"/>
      <c r="K34" s="9"/>
      <c r="L34" s="9"/>
      <c r="M34" s="9"/>
      <c r="N34" s="9"/>
    </row>
    <row r="35" ht="15.75" customHeight="1">
      <c r="A35" s="9" t="s">
        <v>108</v>
      </c>
      <c r="B35" s="30">
        <v>60000.0</v>
      </c>
      <c r="C35" s="24">
        <v>0.03</v>
      </c>
      <c r="D35" s="9" t="s">
        <v>109</v>
      </c>
      <c r="E35" s="9" t="s">
        <v>110</v>
      </c>
      <c r="F35" s="9"/>
      <c r="G35" s="9"/>
      <c r="H35" s="9"/>
      <c r="I35" s="9"/>
      <c r="J35" s="9"/>
      <c r="K35" s="9"/>
      <c r="L35" s="9"/>
      <c r="M35" s="9"/>
      <c r="N35" s="9"/>
    </row>
    <row r="36" ht="15.75" customHeight="1">
      <c r="A36" s="9" t="s">
        <v>112</v>
      </c>
      <c r="B36" s="30">
        <v>18000.0</v>
      </c>
      <c r="C36" s="24">
        <v>0.015</v>
      </c>
      <c r="D36" s="9" t="s">
        <v>109</v>
      </c>
      <c r="E36" s="9" t="s">
        <v>113</v>
      </c>
      <c r="F36" s="9"/>
      <c r="G36" s="9"/>
      <c r="H36" s="9"/>
      <c r="I36" s="9"/>
      <c r="J36" s="9"/>
      <c r="K36" s="9"/>
      <c r="L36" s="9"/>
      <c r="M36" s="9"/>
      <c r="N36" s="9"/>
    </row>
    <row r="37" ht="15.75" customHeight="1">
      <c r="A37" s="9" t="s">
        <v>115</v>
      </c>
      <c r="B37" s="30">
        <v>12000.0</v>
      </c>
      <c r="C37" s="24">
        <v>0.01</v>
      </c>
      <c r="D37" s="9" t="s">
        <v>106</v>
      </c>
      <c r="E37" s="9" t="s">
        <v>116</v>
      </c>
      <c r="F37" s="9"/>
      <c r="G37" s="9"/>
      <c r="H37" s="9"/>
      <c r="I37" s="9"/>
      <c r="J37" s="9"/>
      <c r="K37" s="9"/>
      <c r="L37" s="9"/>
      <c r="M37" s="9"/>
      <c r="N37" s="9"/>
    </row>
    <row r="38" ht="15.75" customHeight="1">
      <c r="A38" s="9" t="s">
        <v>117</v>
      </c>
      <c r="B38" s="30">
        <v>28000.0</v>
      </c>
      <c r="C38" s="24">
        <v>0.01</v>
      </c>
      <c r="D38" s="9" t="s">
        <v>106</v>
      </c>
      <c r="E38" s="9" t="s">
        <v>118</v>
      </c>
      <c r="F38" s="9"/>
      <c r="G38" s="9"/>
      <c r="H38" s="9"/>
      <c r="I38" s="9"/>
      <c r="J38" s="9"/>
      <c r="K38" s="9"/>
      <c r="L38" s="9"/>
      <c r="M38" s="9"/>
      <c r="N38" s="9"/>
    </row>
    <row r="39" ht="15.75" customHeight="1">
      <c r="A39" s="9" t="s">
        <v>119</v>
      </c>
      <c r="B39" s="30">
        <v>10000.0</v>
      </c>
      <c r="C39" s="24">
        <v>0.0</v>
      </c>
      <c r="D39" s="9" t="s">
        <v>120</v>
      </c>
      <c r="E39" s="9" t="s">
        <v>121</v>
      </c>
      <c r="F39" s="9"/>
      <c r="G39" s="9"/>
      <c r="H39" s="9"/>
      <c r="I39" s="9"/>
      <c r="J39" s="9"/>
      <c r="K39" s="9"/>
      <c r="L39" s="9"/>
      <c r="M39" s="9"/>
      <c r="N39" s="9"/>
    </row>
    <row r="40" ht="15.75" customHeight="1">
      <c r="A40" s="9"/>
      <c r="B40" s="9"/>
      <c r="C40" s="9"/>
      <c r="D40" s="9"/>
      <c r="E40" s="9"/>
      <c r="F40" s="9"/>
      <c r="G40" s="9"/>
      <c r="H40" s="9"/>
      <c r="I40" s="9"/>
      <c r="J40" s="9"/>
      <c r="K40" s="9"/>
      <c r="L40" s="9"/>
      <c r="M40" s="9"/>
      <c r="N40" s="9"/>
    </row>
    <row r="41" ht="19.5" customHeight="1">
      <c r="A41" s="14" t="s">
        <v>122</v>
      </c>
      <c r="B41" s="3"/>
      <c r="C41" s="3"/>
      <c r="D41" s="5"/>
      <c r="E41" s="9"/>
      <c r="F41" s="9"/>
      <c r="G41" s="9"/>
      <c r="H41" s="9"/>
      <c r="I41" s="9"/>
      <c r="J41" s="9"/>
      <c r="K41" s="9"/>
      <c r="L41" s="9"/>
      <c r="M41" s="9"/>
      <c r="N41" s="9"/>
    </row>
    <row r="42" ht="15.75" customHeight="1">
      <c r="A42" s="20" t="s">
        <v>123</v>
      </c>
      <c r="B42" s="20" t="s">
        <v>124</v>
      </c>
      <c r="C42" s="20" t="s">
        <v>83</v>
      </c>
      <c r="D42" s="20" t="s">
        <v>59</v>
      </c>
      <c r="E42" s="9"/>
      <c r="F42" s="9"/>
      <c r="G42" s="9"/>
      <c r="H42" s="9"/>
      <c r="I42" s="9"/>
      <c r="J42" s="9"/>
      <c r="K42" s="9"/>
      <c r="L42" s="9"/>
      <c r="M42" s="9"/>
      <c r="N42" s="9"/>
    </row>
    <row r="43" ht="15.75" customHeight="1">
      <c r="A43" s="9" t="s">
        <v>125</v>
      </c>
      <c r="B43" s="30">
        <v>90000.0</v>
      </c>
      <c r="C43" s="9" t="s">
        <v>96</v>
      </c>
      <c r="D43" s="9" t="s">
        <v>126</v>
      </c>
      <c r="E43" s="9"/>
      <c r="F43" s="9"/>
      <c r="G43" s="9"/>
      <c r="H43" s="9"/>
      <c r="I43" s="9"/>
      <c r="J43" s="9"/>
      <c r="K43" s="9"/>
      <c r="L43" s="9"/>
      <c r="M43" s="9"/>
      <c r="N43" s="9"/>
    </row>
    <row r="44" ht="15.75" customHeight="1">
      <c r="A44" s="9" t="s">
        <v>87</v>
      </c>
      <c r="B44" s="30">
        <v>85000.0</v>
      </c>
      <c r="C44" s="9" t="s">
        <v>96</v>
      </c>
      <c r="D44" s="9" t="s">
        <v>126</v>
      </c>
      <c r="E44" s="9"/>
      <c r="F44" s="9"/>
      <c r="G44" s="9"/>
      <c r="H44" s="9"/>
      <c r="I44" s="9"/>
      <c r="J44" s="9"/>
      <c r="K44" s="9"/>
      <c r="L44" s="9"/>
      <c r="M44" s="9"/>
      <c r="N44" s="9"/>
    </row>
    <row r="45" ht="15.75" customHeight="1">
      <c r="A45" s="9" t="s">
        <v>128</v>
      </c>
      <c r="B45" s="30">
        <v>25000.0</v>
      </c>
      <c r="C45" s="9" t="s">
        <v>96</v>
      </c>
      <c r="D45" s="9" t="s">
        <v>126</v>
      </c>
      <c r="E45" s="9"/>
      <c r="F45" s="9"/>
      <c r="G45" s="9"/>
      <c r="H45" s="9"/>
      <c r="I45" s="9"/>
      <c r="J45" s="9"/>
      <c r="K45" s="9"/>
      <c r="L45" s="9"/>
      <c r="M45" s="9"/>
      <c r="N45" s="9"/>
    </row>
    <row r="46" ht="15.75" customHeight="1">
      <c r="A46" s="9" t="s">
        <v>130</v>
      </c>
      <c r="B46" s="30">
        <v>75000.0</v>
      </c>
      <c r="C46" s="9" t="s">
        <v>96</v>
      </c>
      <c r="D46" s="9" t="s">
        <v>131</v>
      </c>
      <c r="E46" s="9"/>
      <c r="F46" s="9"/>
      <c r="G46" s="9"/>
      <c r="H46" s="9"/>
      <c r="I46" s="9"/>
      <c r="J46" s="9"/>
      <c r="K46" s="9"/>
      <c r="L46" s="9"/>
      <c r="M46" s="9"/>
      <c r="N46" s="9"/>
    </row>
    <row r="47" ht="15.75" customHeight="1">
      <c r="A47" s="9" t="s">
        <v>94</v>
      </c>
      <c r="B47" s="30">
        <v>65000.0</v>
      </c>
      <c r="C47" s="9" t="s">
        <v>96</v>
      </c>
      <c r="D47" s="9" t="s">
        <v>132</v>
      </c>
      <c r="E47" s="9"/>
      <c r="F47" s="9"/>
      <c r="G47" s="9"/>
      <c r="H47" s="9"/>
      <c r="I47" s="9"/>
      <c r="J47" s="9"/>
      <c r="K47" s="9"/>
      <c r="L47" s="9"/>
      <c r="M47" s="9"/>
      <c r="N47" s="9"/>
    </row>
    <row r="48" ht="15.75" customHeight="1">
      <c r="A48" s="9" t="s">
        <v>133</v>
      </c>
      <c r="B48" s="30">
        <v>30000.0</v>
      </c>
      <c r="C48" s="9" t="s">
        <v>96</v>
      </c>
      <c r="D48" s="9" t="s">
        <v>132</v>
      </c>
      <c r="E48" s="9"/>
      <c r="F48" s="9"/>
      <c r="G48" s="9"/>
      <c r="H48" s="9"/>
      <c r="I48" s="9"/>
      <c r="J48" s="9"/>
      <c r="K48" s="9"/>
      <c r="L48" s="9"/>
      <c r="M48" s="9"/>
      <c r="N48" s="9"/>
    </row>
    <row r="49" ht="15.75" customHeight="1">
      <c r="A49" s="9" t="s">
        <v>134</v>
      </c>
      <c r="B49" s="32">
        <f>$B$30+SUM($B$43:$B$46)-SUM($B$47:$B$48)</f>
        <v>2280000</v>
      </c>
      <c r="C49" s="9" t="s">
        <v>96</v>
      </c>
      <c r="D49" s="9" t="s">
        <v>136</v>
      </c>
      <c r="E49" s="9"/>
      <c r="F49" s="9"/>
      <c r="G49" s="9"/>
      <c r="H49" s="9"/>
      <c r="I49" s="9"/>
      <c r="J49" s="9"/>
      <c r="K49" s="9"/>
      <c r="L49" s="9"/>
      <c r="M49" s="9"/>
      <c r="N49" s="9"/>
    </row>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A32:E32"/>
    <mergeCell ref="A41:D41"/>
    <mergeCell ref="A1:N1"/>
    <mergeCell ref="A2:N2"/>
    <mergeCell ref="A6:E6"/>
    <mergeCell ref="G6:H6"/>
    <mergeCell ref="A12:F12"/>
    <mergeCell ref="A18:G18"/>
    <mergeCell ref="A24:E24"/>
  </mergeCells>
  <dataValidations>
    <dataValidation type="list" allowBlank="1" sqref="B4">
      <formula1>"Base,Upside,Downside"</formula1>
    </dataValidation>
  </dataValidation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1.0"/>
    <col customWidth="1" min="2" max="2" width="10.88"/>
    <col customWidth="1" min="3" max="14" width="13.0"/>
    <col customWidth="1" min="15" max="26" width="8.63"/>
  </cols>
  <sheetData>
    <row r="1" ht="27.75" customHeight="1">
      <c r="A1" s="1" t="s">
        <v>0</v>
      </c>
      <c r="B1" s="3"/>
      <c r="C1" s="3"/>
      <c r="D1" s="3"/>
      <c r="E1" s="3"/>
      <c r="F1" s="3"/>
      <c r="G1" s="3"/>
      <c r="H1" s="3"/>
      <c r="I1" s="3"/>
      <c r="J1" s="3"/>
      <c r="K1" s="3"/>
      <c r="L1" s="3"/>
      <c r="M1" s="3"/>
      <c r="N1" s="5"/>
    </row>
    <row r="2" ht="21.75" customHeight="1">
      <c r="A2" s="7" t="s">
        <v>4</v>
      </c>
      <c r="B2" s="3"/>
      <c r="C2" s="3"/>
      <c r="D2" s="3"/>
      <c r="E2" s="3"/>
      <c r="F2" s="3"/>
      <c r="G2" s="3"/>
      <c r="H2" s="3"/>
      <c r="I2" s="3"/>
      <c r="J2" s="3"/>
      <c r="K2" s="3"/>
      <c r="L2" s="3"/>
      <c r="M2" s="3"/>
      <c r="N2" s="5"/>
    </row>
    <row r="3">
      <c r="A3" s="9"/>
      <c r="B3" s="9"/>
      <c r="C3" s="9"/>
      <c r="D3" s="9"/>
      <c r="E3" s="9"/>
      <c r="F3" s="9"/>
      <c r="G3" s="9"/>
      <c r="H3" s="9"/>
      <c r="I3" s="9"/>
      <c r="J3" s="9"/>
      <c r="K3" s="9"/>
      <c r="L3" s="9"/>
      <c r="M3" s="9"/>
      <c r="N3" s="9"/>
    </row>
    <row r="4">
      <c r="A4" s="13" t="s">
        <v>11</v>
      </c>
      <c r="B4" s="13" t="s">
        <v>13</v>
      </c>
      <c r="C4" s="13" t="s">
        <v>15</v>
      </c>
      <c r="D4" s="13" t="s">
        <v>17</v>
      </c>
      <c r="E4" s="13" t="s">
        <v>18</v>
      </c>
      <c r="F4" s="13" t="s">
        <v>19</v>
      </c>
      <c r="G4" s="13" t="s">
        <v>20</v>
      </c>
      <c r="H4" s="13" t="s">
        <v>22</v>
      </c>
      <c r="I4" s="13" t="s">
        <v>23</v>
      </c>
      <c r="J4" s="13" t="s">
        <v>24</v>
      </c>
      <c r="K4" s="13" t="s">
        <v>25</v>
      </c>
      <c r="L4" s="13" t="s">
        <v>26</v>
      </c>
      <c r="M4" s="13" t="s">
        <v>27</v>
      </c>
      <c r="N4" s="13" t="s">
        <v>28</v>
      </c>
    </row>
    <row r="5">
      <c r="A5" s="9"/>
      <c r="B5" s="9"/>
      <c r="C5" s="9"/>
      <c r="D5" s="9"/>
      <c r="E5" s="9"/>
      <c r="F5" s="9"/>
      <c r="G5" s="9"/>
      <c r="H5" s="9"/>
      <c r="I5" s="9"/>
      <c r="J5" s="9"/>
      <c r="K5" s="9"/>
      <c r="L5" s="9"/>
      <c r="M5" s="9"/>
      <c r="N5" s="9"/>
    </row>
    <row r="6" ht="19.5" customHeight="1">
      <c r="A6" s="14" t="s">
        <v>30</v>
      </c>
      <c r="B6" s="3"/>
      <c r="C6" s="3"/>
      <c r="D6" s="3"/>
      <c r="E6" s="3"/>
      <c r="F6" s="3"/>
      <c r="G6" s="3"/>
      <c r="H6" s="3"/>
      <c r="I6" s="3"/>
      <c r="J6" s="3"/>
      <c r="K6" s="3"/>
      <c r="L6" s="3"/>
      <c r="M6" s="3"/>
      <c r="N6" s="5"/>
    </row>
    <row r="7">
      <c r="A7" s="9" t="s">
        <v>32</v>
      </c>
      <c r="B7" s="9" t="s">
        <v>33</v>
      </c>
      <c r="C7" s="17">
        <f>Assumptions!$B$14*Assumptions!$H$7</f>
        <v>1900</v>
      </c>
      <c r="D7" s="17">
        <f>C7*(1+Assumptions!$C$14)</f>
        <v>1976</v>
      </c>
      <c r="E7" s="17">
        <f>D7*(1+Assumptions!$C$14)</f>
        <v>2055.04</v>
      </c>
      <c r="F7" s="17">
        <f>E7*(1+Assumptions!$C$14)</f>
        <v>2137.2416</v>
      </c>
      <c r="G7" s="17">
        <f>F7*(1+Assumptions!$C$14)</f>
        <v>2222.731264</v>
      </c>
      <c r="H7" s="17">
        <f>G7*(1+Assumptions!$C$14)</f>
        <v>2311.640515</v>
      </c>
      <c r="I7" s="17">
        <f>H7*(1+Assumptions!$C$14)</f>
        <v>2404.106135</v>
      </c>
      <c r="J7" s="17">
        <f>I7*(1+Assumptions!$C$14)</f>
        <v>2500.270381</v>
      </c>
      <c r="K7" s="17">
        <f>J7*(1+Assumptions!$C$14)</f>
        <v>2600.281196</v>
      </c>
      <c r="L7" s="17">
        <f>K7*(1+Assumptions!$C$14)</f>
        <v>2704.292444</v>
      </c>
      <c r="M7" s="17">
        <f>L7*(1+Assumptions!$C$14)</f>
        <v>2812.464141</v>
      </c>
      <c r="N7" s="17">
        <f>M7*(1+Assumptions!$C$14)</f>
        <v>2924.962707</v>
      </c>
    </row>
    <row r="8">
      <c r="A8" s="9"/>
      <c r="B8" s="9"/>
      <c r="C8" s="9"/>
      <c r="D8" s="9"/>
      <c r="E8" s="9"/>
      <c r="F8" s="9"/>
      <c r="G8" s="9"/>
      <c r="H8" s="9"/>
      <c r="I8" s="9"/>
      <c r="J8" s="9"/>
      <c r="K8" s="9"/>
      <c r="L8" s="9"/>
      <c r="M8" s="9"/>
      <c r="N8" s="9"/>
    </row>
    <row r="9" ht="19.5" customHeight="1">
      <c r="A9" s="14" t="s">
        <v>47</v>
      </c>
      <c r="B9" s="3"/>
      <c r="C9" s="3"/>
      <c r="D9" s="3"/>
      <c r="E9" s="3"/>
      <c r="F9" s="3"/>
      <c r="G9" s="3"/>
      <c r="H9" s="3"/>
      <c r="I9" s="3"/>
      <c r="J9" s="3"/>
      <c r="K9" s="3"/>
      <c r="L9" s="3"/>
      <c r="M9" s="3"/>
      <c r="N9" s="5"/>
    </row>
    <row r="10">
      <c r="A10" s="9" t="s">
        <v>32</v>
      </c>
      <c r="B10" s="9" t="s">
        <v>33</v>
      </c>
      <c r="C10" s="17">
        <f>Assumptions!$B$15*Assumptions!$H$7</f>
        <v>700</v>
      </c>
      <c r="D10" s="17">
        <f>C10*(1+Assumptions!$C$15)</f>
        <v>721</v>
      </c>
      <c r="E10" s="17">
        <f>D10*(1+Assumptions!$C$15)</f>
        <v>742.63</v>
      </c>
      <c r="F10" s="17">
        <f>E10*(1+Assumptions!$C$15)</f>
        <v>764.9089</v>
      </c>
      <c r="G10" s="17">
        <f>F10*(1+Assumptions!$C$15)</f>
        <v>787.856167</v>
      </c>
      <c r="H10" s="17">
        <f>G10*(1+Assumptions!$C$15)</f>
        <v>811.491852</v>
      </c>
      <c r="I10" s="17">
        <f>H10*(1+Assumptions!$C$15)</f>
        <v>835.8366076</v>
      </c>
      <c r="J10" s="17">
        <f>I10*(1+Assumptions!$C$15)</f>
        <v>860.9117058</v>
      </c>
      <c r="K10" s="17">
        <f>J10*(1+Assumptions!$C$15)</f>
        <v>886.739057</v>
      </c>
      <c r="L10" s="17">
        <f>K10*(1+Assumptions!$C$15)</f>
        <v>913.3412287</v>
      </c>
      <c r="M10" s="17">
        <f>L10*(1+Assumptions!$C$15)</f>
        <v>940.7414655</v>
      </c>
      <c r="N10" s="17">
        <f>M10*(1+Assumptions!$C$15)</f>
        <v>968.9637095</v>
      </c>
    </row>
    <row r="11">
      <c r="A11" s="9"/>
      <c r="B11" s="9"/>
      <c r="C11" s="9"/>
      <c r="D11" s="9"/>
      <c r="E11" s="9"/>
      <c r="F11" s="9"/>
      <c r="G11" s="9"/>
      <c r="H11" s="9"/>
      <c r="I11" s="9"/>
      <c r="J11" s="9"/>
      <c r="K11" s="9"/>
      <c r="L11" s="9"/>
      <c r="M11" s="9"/>
      <c r="N11" s="9"/>
    </row>
    <row r="12" ht="19.5" customHeight="1">
      <c r="A12" s="14" t="s">
        <v>52</v>
      </c>
      <c r="B12" s="3"/>
      <c r="C12" s="3"/>
      <c r="D12" s="3"/>
      <c r="E12" s="3"/>
      <c r="F12" s="3"/>
      <c r="G12" s="3"/>
      <c r="H12" s="3"/>
      <c r="I12" s="3"/>
      <c r="J12" s="3"/>
      <c r="K12" s="3"/>
      <c r="L12" s="3"/>
      <c r="M12" s="3"/>
      <c r="N12" s="5"/>
    </row>
    <row r="13">
      <c r="A13" s="9" t="s">
        <v>32</v>
      </c>
      <c r="B13" s="9" t="s">
        <v>33</v>
      </c>
      <c r="C13" s="17">
        <f>Assumptions!$B$16*Assumptions!$H$7</f>
        <v>350</v>
      </c>
      <c r="D13" s="17">
        <f>C13*(1+Assumptions!$C$16)</f>
        <v>358.75</v>
      </c>
      <c r="E13" s="17">
        <f>D13*(1+Assumptions!$C$16)</f>
        <v>367.71875</v>
      </c>
      <c r="F13" s="17">
        <f>E13*(1+Assumptions!$C$16)</f>
        <v>376.9117188</v>
      </c>
      <c r="G13" s="17">
        <f>F13*(1+Assumptions!$C$16)</f>
        <v>386.3345117</v>
      </c>
      <c r="H13" s="17">
        <f>G13*(1+Assumptions!$C$16)</f>
        <v>395.9928745</v>
      </c>
      <c r="I13" s="17">
        <f>H13*(1+Assumptions!$C$16)</f>
        <v>405.8926964</v>
      </c>
      <c r="J13" s="17">
        <f>I13*(1+Assumptions!$C$16)</f>
        <v>416.0400138</v>
      </c>
      <c r="K13" s="17">
        <f>J13*(1+Assumptions!$C$16)</f>
        <v>426.4410141</v>
      </c>
      <c r="L13" s="17">
        <f>K13*(1+Assumptions!$C$16)</f>
        <v>437.1020395</v>
      </c>
      <c r="M13" s="17">
        <f>L13*(1+Assumptions!$C$16)</f>
        <v>448.0295905</v>
      </c>
      <c r="N13" s="17">
        <f>M13*(1+Assumptions!$C$16)</f>
        <v>459.2303302</v>
      </c>
    </row>
    <row r="14">
      <c r="A14" s="9"/>
      <c r="B14" s="9"/>
      <c r="C14" s="9"/>
      <c r="D14" s="9"/>
      <c r="E14" s="9"/>
      <c r="F14" s="9"/>
      <c r="G14" s="9"/>
      <c r="H14" s="9"/>
      <c r="I14" s="9"/>
      <c r="J14" s="9"/>
      <c r="K14" s="9"/>
      <c r="L14" s="9"/>
      <c r="M14" s="9"/>
      <c r="N14" s="9"/>
    </row>
    <row r="15" ht="19.5" customHeight="1">
      <c r="A15" s="14" t="s">
        <v>65</v>
      </c>
      <c r="B15" s="3"/>
      <c r="C15" s="3"/>
      <c r="D15" s="3"/>
      <c r="E15" s="3"/>
      <c r="F15" s="3"/>
      <c r="G15" s="3"/>
      <c r="H15" s="3"/>
      <c r="I15" s="3"/>
      <c r="J15" s="3"/>
      <c r="K15" s="3"/>
      <c r="L15" s="3"/>
      <c r="M15" s="3"/>
      <c r="N15" s="5"/>
    </row>
    <row r="16">
      <c r="A16" s="9" t="s">
        <v>67</v>
      </c>
      <c r="B16" s="9" t="s">
        <v>33</v>
      </c>
      <c r="C16" s="17">
        <f>C7*Assumptions!$F$20</f>
        <v>1045</v>
      </c>
      <c r="D16" s="17">
        <f>D7*Assumptions!$F$20</f>
        <v>1086.8</v>
      </c>
      <c r="E16" s="17">
        <f>E7*Assumptions!$F$20</f>
        <v>1130.272</v>
      </c>
      <c r="F16" s="17">
        <f>F7*Assumptions!$F$20</f>
        <v>1175.48288</v>
      </c>
      <c r="G16" s="17">
        <f>G7*Assumptions!$F$20</f>
        <v>1222.502195</v>
      </c>
      <c r="H16" s="17">
        <f>H7*Assumptions!$F$20</f>
        <v>1271.402283</v>
      </c>
      <c r="I16" s="17">
        <f>I7*Assumptions!$F$20</f>
        <v>1322.258374</v>
      </c>
      <c r="J16" s="17">
        <f>J7*Assumptions!$F$20</f>
        <v>1375.148709</v>
      </c>
      <c r="K16" s="17">
        <f>K7*Assumptions!$F$20</f>
        <v>1430.154658</v>
      </c>
      <c r="L16" s="17">
        <f>L7*Assumptions!$F$20</f>
        <v>1487.360844</v>
      </c>
      <c r="M16" s="17">
        <f>M7*Assumptions!$F$20</f>
        <v>1546.855278</v>
      </c>
      <c r="N16" s="17">
        <f>N7*Assumptions!$F$20</f>
        <v>1608.729489</v>
      </c>
    </row>
    <row r="17">
      <c r="A17" s="9" t="s">
        <v>92</v>
      </c>
      <c r="B17" s="9" t="s">
        <v>33</v>
      </c>
      <c r="C17" s="17">
        <f>C7*Assumptions!$F$21</f>
        <v>570</v>
      </c>
      <c r="D17" s="17">
        <f>D7*Assumptions!$F$21</f>
        <v>592.8</v>
      </c>
      <c r="E17" s="17">
        <f>E7*Assumptions!$F$21</f>
        <v>616.512</v>
      </c>
      <c r="F17" s="17">
        <f>F7*Assumptions!$F$21</f>
        <v>641.17248</v>
      </c>
      <c r="G17" s="17">
        <f>G7*Assumptions!$F$21</f>
        <v>666.8193792</v>
      </c>
      <c r="H17" s="17">
        <f>H7*Assumptions!$F$21</f>
        <v>693.4921544</v>
      </c>
      <c r="I17" s="17">
        <f>I7*Assumptions!$F$21</f>
        <v>721.2318405</v>
      </c>
      <c r="J17" s="17">
        <f>J7*Assumptions!$F$21</f>
        <v>750.0811142</v>
      </c>
      <c r="K17" s="17">
        <f>K7*Assumptions!$F$21</f>
        <v>780.0843587</v>
      </c>
      <c r="L17" s="17">
        <f>L7*Assumptions!$F$21</f>
        <v>811.2877331</v>
      </c>
      <c r="M17" s="17">
        <f>M7*Assumptions!$F$21</f>
        <v>843.7392424</v>
      </c>
      <c r="N17" s="17">
        <f>N7*Assumptions!$F$21</f>
        <v>877.4888121</v>
      </c>
    </row>
    <row r="18">
      <c r="A18" s="9" t="s">
        <v>111</v>
      </c>
      <c r="B18" s="9" t="s">
        <v>33</v>
      </c>
      <c r="C18" s="17">
        <f>C7*Assumptions!$F$22</f>
        <v>285</v>
      </c>
      <c r="D18" s="17">
        <f>D7*Assumptions!$F$22</f>
        <v>296.4</v>
      </c>
      <c r="E18" s="17">
        <f>E7*Assumptions!$F$22</f>
        <v>308.256</v>
      </c>
      <c r="F18" s="17">
        <f>F7*Assumptions!$F$22</f>
        <v>320.58624</v>
      </c>
      <c r="G18" s="17">
        <f>G7*Assumptions!$F$22</f>
        <v>333.4096896</v>
      </c>
      <c r="H18" s="17">
        <f>H7*Assumptions!$F$22</f>
        <v>346.7460772</v>
      </c>
      <c r="I18" s="17">
        <f>I7*Assumptions!$F$22</f>
        <v>360.6159203</v>
      </c>
      <c r="J18" s="17">
        <f>J7*Assumptions!$F$22</f>
        <v>375.0405571</v>
      </c>
      <c r="K18" s="17">
        <f>K7*Assumptions!$F$22</f>
        <v>390.0421794</v>
      </c>
      <c r="L18" s="17">
        <f>L7*Assumptions!$F$22</f>
        <v>405.6438665</v>
      </c>
      <c r="M18" s="17">
        <f>M7*Assumptions!$F$22</f>
        <v>421.8696212</v>
      </c>
      <c r="N18" s="17">
        <f>N7*Assumptions!$F$22</f>
        <v>438.744406</v>
      </c>
    </row>
    <row r="19">
      <c r="A19" s="9" t="s">
        <v>127</v>
      </c>
      <c r="B19" s="9" t="s">
        <v>33</v>
      </c>
      <c r="C19" s="17">
        <f>C10*Assumptions!$F$20</f>
        <v>385</v>
      </c>
      <c r="D19" s="17">
        <f>D10*Assumptions!$F$20</f>
        <v>396.55</v>
      </c>
      <c r="E19" s="17">
        <f>E10*Assumptions!$F$20</f>
        <v>408.4465</v>
      </c>
      <c r="F19" s="17">
        <f>F10*Assumptions!$F$20</f>
        <v>420.699895</v>
      </c>
      <c r="G19" s="17">
        <f>G10*Assumptions!$F$20</f>
        <v>433.3208919</v>
      </c>
      <c r="H19" s="17">
        <f>H10*Assumptions!$F$20</f>
        <v>446.3205186</v>
      </c>
      <c r="I19" s="17">
        <f>I10*Assumptions!$F$20</f>
        <v>459.7101342</v>
      </c>
      <c r="J19" s="17">
        <f>J10*Assumptions!$F$20</f>
        <v>473.5014382</v>
      </c>
      <c r="K19" s="17">
        <f>K10*Assumptions!$F$20</f>
        <v>487.7064813</v>
      </c>
      <c r="L19" s="17">
        <f>L10*Assumptions!$F$20</f>
        <v>502.3376758</v>
      </c>
      <c r="M19" s="17">
        <f>M10*Assumptions!$F$20</f>
        <v>517.407806</v>
      </c>
      <c r="N19" s="17">
        <f>N10*Assumptions!$F$20</f>
        <v>532.9300402</v>
      </c>
    </row>
    <row r="20">
      <c r="A20" s="9" t="s">
        <v>137</v>
      </c>
      <c r="B20" s="9" t="s">
        <v>33</v>
      </c>
      <c r="C20" s="17">
        <f>C10*Assumptions!$F$21</f>
        <v>210</v>
      </c>
      <c r="D20" s="17">
        <f>D10*Assumptions!$F$21</f>
        <v>216.3</v>
      </c>
      <c r="E20" s="17">
        <f>E10*Assumptions!$F$21</f>
        <v>222.789</v>
      </c>
      <c r="F20" s="17">
        <f>F10*Assumptions!$F$21</f>
        <v>229.47267</v>
      </c>
      <c r="G20" s="17">
        <f>G10*Assumptions!$F$21</f>
        <v>236.3568501</v>
      </c>
      <c r="H20" s="17">
        <f>H10*Assumptions!$F$21</f>
        <v>243.4475556</v>
      </c>
      <c r="I20" s="17">
        <f>I10*Assumptions!$F$21</f>
        <v>250.7509823</v>
      </c>
      <c r="J20" s="17">
        <f>J10*Assumptions!$F$21</f>
        <v>258.2735117</v>
      </c>
      <c r="K20" s="17">
        <f>K10*Assumptions!$F$21</f>
        <v>266.0217171</v>
      </c>
      <c r="L20" s="17">
        <f>L10*Assumptions!$F$21</f>
        <v>274.0023686</v>
      </c>
      <c r="M20" s="17">
        <f>M10*Assumptions!$F$21</f>
        <v>282.2224397</v>
      </c>
      <c r="N20" s="17">
        <f>N10*Assumptions!$F$21</f>
        <v>290.6891129</v>
      </c>
    </row>
    <row r="21" ht="15.75" customHeight="1">
      <c r="A21" s="9" t="s">
        <v>138</v>
      </c>
      <c r="B21" s="9" t="s">
        <v>33</v>
      </c>
      <c r="C21" s="17">
        <f>C10*Assumptions!$F$22</f>
        <v>105</v>
      </c>
      <c r="D21" s="17">
        <f>D10*Assumptions!$F$22</f>
        <v>108.15</v>
      </c>
      <c r="E21" s="17">
        <f>E10*Assumptions!$F$22</f>
        <v>111.3945</v>
      </c>
      <c r="F21" s="17">
        <f>F10*Assumptions!$F$22</f>
        <v>114.736335</v>
      </c>
      <c r="G21" s="17">
        <f>G10*Assumptions!$F$22</f>
        <v>118.1784251</v>
      </c>
      <c r="H21" s="17">
        <f>H10*Assumptions!$F$22</f>
        <v>121.7237778</v>
      </c>
      <c r="I21" s="17">
        <f>I10*Assumptions!$F$22</f>
        <v>125.3754911</v>
      </c>
      <c r="J21" s="17">
        <f>J10*Assumptions!$F$22</f>
        <v>129.1367559</v>
      </c>
      <c r="K21" s="17">
        <f>K10*Assumptions!$F$22</f>
        <v>133.0108585</v>
      </c>
      <c r="L21" s="17">
        <f>L10*Assumptions!$F$22</f>
        <v>137.0011843</v>
      </c>
      <c r="M21" s="17">
        <f>M10*Assumptions!$F$22</f>
        <v>141.1112198</v>
      </c>
      <c r="N21" s="17">
        <f>N10*Assumptions!$F$22</f>
        <v>145.3445564</v>
      </c>
    </row>
    <row r="22" ht="15.75" customHeight="1">
      <c r="A22" s="9" t="s">
        <v>141</v>
      </c>
      <c r="B22" s="9" t="s">
        <v>33</v>
      </c>
      <c r="C22" s="17">
        <f>C13*Assumptions!$F$20</f>
        <v>192.5</v>
      </c>
      <c r="D22" s="17">
        <f>D13*Assumptions!$F$20</f>
        <v>197.3125</v>
      </c>
      <c r="E22" s="17">
        <f>E13*Assumptions!$F$20</f>
        <v>202.2453125</v>
      </c>
      <c r="F22" s="17">
        <f>F13*Assumptions!$F$20</f>
        <v>207.3014453</v>
      </c>
      <c r="G22" s="17">
        <f>G13*Assumptions!$F$20</f>
        <v>212.4839814</v>
      </c>
      <c r="H22" s="17">
        <f>H13*Assumptions!$F$20</f>
        <v>217.796081</v>
      </c>
      <c r="I22" s="17">
        <f>I13*Assumptions!$F$20</f>
        <v>223.240983</v>
      </c>
      <c r="J22" s="17">
        <f>J13*Assumptions!$F$20</f>
        <v>228.8220076</v>
      </c>
      <c r="K22" s="17">
        <f>K13*Assumptions!$F$20</f>
        <v>234.5425578</v>
      </c>
      <c r="L22" s="17">
        <f>L13*Assumptions!$F$20</f>
        <v>240.4061217</v>
      </c>
      <c r="M22" s="17">
        <f>M13*Assumptions!$F$20</f>
        <v>246.4162748</v>
      </c>
      <c r="N22" s="17">
        <f>N13*Assumptions!$F$20</f>
        <v>252.5766816</v>
      </c>
    </row>
    <row r="23" ht="15.75" customHeight="1">
      <c r="A23" s="9" t="s">
        <v>143</v>
      </c>
      <c r="B23" s="9" t="s">
        <v>33</v>
      </c>
      <c r="C23" s="17">
        <f>C13*Assumptions!$F$21</f>
        <v>105</v>
      </c>
      <c r="D23" s="17">
        <f>D13*Assumptions!$F$21</f>
        <v>107.625</v>
      </c>
      <c r="E23" s="17">
        <f>E13*Assumptions!$F$21</f>
        <v>110.315625</v>
      </c>
      <c r="F23" s="17">
        <f>F13*Assumptions!$F$21</f>
        <v>113.0735156</v>
      </c>
      <c r="G23" s="17">
        <f>G13*Assumptions!$F$21</f>
        <v>115.9003535</v>
      </c>
      <c r="H23" s="17">
        <f>H13*Assumptions!$F$21</f>
        <v>118.7978624</v>
      </c>
      <c r="I23" s="17">
        <f>I13*Assumptions!$F$21</f>
        <v>121.7678089</v>
      </c>
      <c r="J23" s="17">
        <f>J13*Assumptions!$F$21</f>
        <v>124.8120041</v>
      </c>
      <c r="K23" s="17">
        <f>K13*Assumptions!$F$21</f>
        <v>127.9323042</v>
      </c>
      <c r="L23" s="17">
        <f>L13*Assumptions!$F$21</f>
        <v>131.1306118</v>
      </c>
      <c r="M23" s="17">
        <f>M13*Assumptions!$F$21</f>
        <v>134.4088771</v>
      </c>
      <c r="N23" s="17">
        <f>N13*Assumptions!$F$21</f>
        <v>137.7690991</v>
      </c>
    </row>
    <row r="24" ht="15.75" customHeight="1">
      <c r="A24" s="9" t="s">
        <v>144</v>
      </c>
      <c r="B24" s="9" t="s">
        <v>33</v>
      </c>
      <c r="C24" s="17">
        <f>C13*Assumptions!$F$22</f>
        <v>52.5</v>
      </c>
      <c r="D24" s="17">
        <f>D13*Assumptions!$F$22</f>
        <v>53.8125</v>
      </c>
      <c r="E24" s="17">
        <f>E13*Assumptions!$F$22</f>
        <v>55.1578125</v>
      </c>
      <c r="F24" s="17">
        <f>F13*Assumptions!$F$22</f>
        <v>56.53675781</v>
      </c>
      <c r="G24" s="17">
        <f>G13*Assumptions!$F$22</f>
        <v>57.95017676</v>
      </c>
      <c r="H24" s="17">
        <f>H13*Assumptions!$F$22</f>
        <v>59.39893118</v>
      </c>
      <c r="I24" s="17">
        <f>I13*Assumptions!$F$22</f>
        <v>60.88390446</v>
      </c>
      <c r="J24" s="17">
        <f>J13*Assumptions!$F$22</f>
        <v>62.40600207</v>
      </c>
      <c r="K24" s="17">
        <f>K13*Assumptions!$F$22</f>
        <v>63.96615212</v>
      </c>
      <c r="L24" s="17">
        <f>L13*Assumptions!$F$22</f>
        <v>65.56530592</v>
      </c>
      <c r="M24" s="17">
        <f>M13*Assumptions!$F$22</f>
        <v>67.20443857</v>
      </c>
      <c r="N24" s="17">
        <f>N13*Assumptions!$F$22</f>
        <v>68.88454953</v>
      </c>
    </row>
    <row r="25" ht="15.75" customHeight="1">
      <c r="A25" s="33" t="s">
        <v>145</v>
      </c>
      <c r="B25" s="33" t="s">
        <v>33</v>
      </c>
      <c r="C25" s="34">
        <f t="shared" ref="C25:N25" si="1">SUM(C16:C24)</f>
        <v>2950</v>
      </c>
      <c r="D25" s="34">
        <f t="shared" si="1"/>
        <v>3055.75</v>
      </c>
      <c r="E25" s="34">
        <f t="shared" si="1"/>
        <v>3165.38875</v>
      </c>
      <c r="F25" s="34">
        <f t="shared" si="1"/>
        <v>3279.062219</v>
      </c>
      <c r="G25" s="34">
        <f t="shared" si="1"/>
        <v>3396.921943</v>
      </c>
      <c r="H25" s="34">
        <f t="shared" si="1"/>
        <v>3519.125241</v>
      </c>
      <c r="I25" s="34">
        <f t="shared" si="1"/>
        <v>3645.835439</v>
      </c>
      <c r="J25" s="34">
        <f t="shared" si="1"/>
        <v>3777.2221</v>
      </c>
      <c r="K25" s="34">
        <f t="shared" si="1"/>
        <v>3913.461267</v>
      </c>
      <c r="L25" s="34">
        <f t="shared" si="1"/>
        <v>4054.735712</v>
      </c>
      <c r="M25" s="34">
        <f t="shared" si="1"/>
        <v>4201.235197</v>
      </c>
      <c r="N25" s="34">
        <f t="shared" si="1"/>
        <v>4353.156747</v>
      </c>
    </row>
    <row r="26" ht="15.75" customHeight="1">
      <c r="A26" s="9"/>
      <c r="B26" s="9"/>
      <c r="C26" s="9"/>
      <c r="D26" s="9"/>
      <c r="E26" s="9"/>
      <c r="F26" s="9"/>
      <c r="G26" s="9"/>
      <c r="H26" s="9"/>
      <c r="I26" s="9"/>
      <c r="J26" s="9"/>
      <c r="K26" s="9"/>
      <c r="L26" s="9"/>
      <c r="M26" s="9"/>
      <c r="N26" s="9"/>
    </row>
    <row r="27" ht="19.5" customHeight="1">
      <c r="A27" s="14" t="s">
        <v>146</v>
      </c>
      <c r="B27" s="3"/>
      <c r="C27" s="3"/>
      <c r="D27" s="3"/>
      <c r="E27" s="3"/>
      <c r="F27" s="3"/>
      <c r="G27" s="3"/>
      <c r="H27" s="3"/>
      <c r="I27" s="3"/>
      <c r="J27" s="3"/>
      <c r="K27" s="3"/>
      <c r="L27" s="3"/>
      <c r="M27" s="3"/>
      <c r="N27" s="5"/>
    </row>
    <row r="28" ht="15.75" customHeight="1">
      <c r="A28" s="9" t="s">
        <v>67</v>
      </c>
      <c r="B28" s="9" t="s">
        <v>96</v>
      </c>
      <c r="C28" s="32">
        <f>C16*Assumptions!$B$20*Assumptions!$H$8</f>
        <v>99275</v>
      </c>
      <c r="D28" s="32">
        <f>D16*Assumptions!$B$20*Assumptions!$H$8</f>
        <v>103246</v>
      </c>
      <c r="E28" s="32">
        <f>E16*Assumptions!$B$20*Assumptions!$H$8</f>
        <v>107375.84</v>
      </c>
      <c r="F28" s="32">
        <f>F16*Assumptions!$B$20*Assumptions!$H$8</f>
        <v>111670.8736</v>
      </c>
      <c r="G28" s="32">
        <f>G16*Assumptions!$B$20*Assumptions!$H$8</f>
        <v>116137.7085</v>
      </c>
      <c r="H28" s="32">
        <f>H16*Assumptions!$B$20*Assumptions!$H$8</f>
        <v>120783.2169</v>
      </c>
      <c r="I28" s="32">
        <f>I16*Assumptions!$B$20*Assumptions!$H$8</f>
        <v>125614.5456</v>
      </c>
      <c r="J28" s="32">
        <f>J16*Assumptions!$B$20*Assumptions!$H$8</f>
        <v>130639.1274</v>
      </c>
      <c r="K28" s="32">
        <f>K16*Assumptions!$B$20*Assumptions!$H$8</f>
        <v>135864.6925</v>
      </c>
      <c r="L28" s="32">
        <f>L16*Assumptions!$B$20*Assumptions!$H$8</f>
        <v>141299.2802</v>
      </c>
      <c r="M28" s="32">
        <f>M16*Assumptions!$B$20*Assumptions!$H$8</f>
        <v>146951.2514</v>
      </c>
      <c r="N28" s="32">
        <f>N16*Assumptions!$B$20*Assumptions!$H$8</f>
        <v>152829.3014</v>
      </c>
    </row>
    <row r="29" ht="15.75" customHeight="1">
      <c r="A29" s="9" t="s">
        <v>92</v>
      </c>
      <c r="B29" s="9" t="s">
        <v>96</v>
      </c>
      <c r="C29" s="32">
        <f>C17*Assumptions!$B$21*Assumptions!$H$8</f>
        <v>82650</v>
      </c>
      <c r="D29" s="32">
        <f>D17*Assumptions!$B$21*Assumptions!$H$8</f>
        <v>85956</v>
      </c>
      <c r="E29" s="32">
        <f>E17*Assumptions!$B$21*Assumptions!$H$8</f>
        <v>89394.24</v>
      </c>
      <c r="F29" s="32">
        <f>F17*Assumptions!$B$21*Assumptions!$H$8</f>
        <v>92970.0096</v>
      </c>
      <c r="G29" s="32">
        <f>G17*Assumptions!$B$21*Assumptions!$H$8</f>
        <v>96688.80998</v>
      </c>
      <c r="H29" s="32">
        <f>H17*Assumptions!$B$21*Assumptions!$H$8</f>
        <v>100556.3624</v>
      </c>
      <c r="I29" s="32">
        <f>I17*Assumptions!$B$21*Assumptions!$H$8</f>
        <v>104578.6169</v>
      </c>
      <c r="J29" s="32">
        <f>J17*Assumptions!$B$21*Assumptions!$H$8</f>
        <v>108761.7616</v>
      </c>
      <c r="K29" s="32">
        <f>K17*Assumptions!$B$21*Assumptions!$H$8</f>
        <v>113112.232</v>
      </c>
      <c r="L29" s="32">
        <f>L17*Assumptions!$B$21*Assumptions!$H$8</f>
        <v>117636.7213</v>
      </c>
      <c r="M29" s="32">
        <f>M17*Assumptions!$B$21*Assumptions!$H$8</f>
        <v>122342.1901</v>
      </c>
      <c r="N29" s="32">
        <f>N17*Assumptions!$B$21*Assumptions!$H$8</f>
        <v>127235.8778</v>
      </c>
    </row>
    <row r="30" ht="15.75" customHeight="1">
      <c r="A30" s="9" t="s">
        <v>111</v>
      </c>
      <c r="B30" s="9" t="s">
        <v>96</v>
      </c>
      <c r="C30" s="32">
        <f>C18*Assumptions!$B$22*Assumptions!$H$8</f>
        <v>12825</v>
      </c>
      <c r="D30" s="32">
        <f>D18*Assumptions!$B$22*Assumptions!$H$8</f>
        <v>13338</v>
      </c>
      <c r="E30" s="32">
        <f>E18*Assumptions!$B$22*Assumptions!$H$8</f>
        <v>13871.52</v>
      </c>
      <c r="F30" s="32">
        <f>F18*Assumptions!$B$22*Assumptions!$H$8</f>
        <v>14426.3808</v>
      </c>
      <c r="G30" s="32">
        <f>G18*Assumptions!$B$22*Assumptions!$H$8</f>
        <v>15003.43603</v>
      </c>
      <c r="H30" s="32">
        <f>H18*Assumptions!$B$22*Assumptions!$H$8</f>
        <v>15603.57347</v>
      </c>
      <c r="I30" s="32">
        <f>I18*Assumptions!$B$22*Assumptions!$H$8</f>
        <v>16227.71641</v>
      </c>
      <c r="J30" s="32">
        <f>J18*Assumptions!$B$22*Assumptions!$H$8</f>
        <v>16876.82507</v>
      </c>
      <c r="K30" s="32">
        <f>K18*Assumptions!$B$22*Assumptions!$H$8</f>
        <v>17551.89807</v>
      </c>
      <c r="L30" s="32">
        <f>L18*Assumptions!$B$22*Assumptions!$H$8</f>
        <v>18253.97399</v>
      </c>
      <c r="M30" s="32">
        <f>M18*Assumptions!$B$22*Assumptions!$H$8</f>
        <v>18984.13295</v>
      </c>
      <c r="N30" s="32">
        <f>N18*Assumptions!$B$22*Assumptions!$H$8</f>
        <v>19743.49827</v>
      </c>
    </row>
    <row r="31" ht="15.75" customHeight="1">
      <c r="A31" s="9" t="s">
        <v>127</v>
      </c>
      <c r="B31" s="9" t="s">
        <v>96</v>
      </c>
      <c r="C31" s="32">
        <f>C19*Assumptions!$C$20*Assumptions!$H$8</f>
        <v>20020</v>
      </c>
      <c r="D31" s="32">
        <f>D19*Assumptions!$C$20*Assumptions!$H$8</f>
        <v>20620.6</v>
      </c>
      <c r="E31" s="32">
        <f>E19*Assumptions!$C$20*Assumptions!$H$8</f>
        <v>21239.218</v>
      </c>
      <c r="F31" s="32">
        <f>F19*Assumptions!$C$20*Assumptions!$H$8</f>
        <v>21876.39454</v>
      </c>
      <c r="G31" s="32">
        <f>G19*Assumptions!$C$20*Assumptions!$H$8</f>
        <v>22532.68638</v>
      </c>
      <c r="H31" s="32">
        <f>H19*Assumptions!$C$20*Assumptions!$H$8</f>
        <v>23208.66697</v>
      </c>
      <c r="I31" s="32">
        <f>I19*Assumptions!$C$20*Assumptions!$H$8</f>
        <v>23904.92698</v>
      </c>
      <c r="J31" s="32">
        <f>J19*Assumptions!$C$20*Assumptions!$H$8</f>
        <v>24622.07479</v>
      </c>
      <c r="K31" s="32">
        <f>K19*Assumptions!$C$20*Assumptions!$H$8</f>
        <v>25360.73703</v>
      </c>
      <c r="L31" s="32">
        <f>L19*Assumptions!$C$20*Assumptions!$H$8</f>
        <v>26121.55914</v>
      </c>
      <c r="M31" s="32">
        <f>M19*Assumptions!$C$20*Assumptions!$H$8</f>
        <v>26905.20591</v>
      </c>
      <c r="N31" s="32">
        <f>N19*Assumptions!$C$20*Assumptions!$H$8</f>
        <v>27712.36209</v>
      </c>
    </row>
    <row r="32" ht="15.75" customHeight="1">
      <c r="A32" s="9" t="s">
        <v>137</v>
      </c>
      <c r="B32" s="9" t="s">
        <v>96</v>
      </c>
      <c r="C32" s="32">
        <f>C20*Assumptions!$C$21*Assumptions!$H$8</f>
        <v>16590</v>
      </c>
      <c r="D32" s="32">
        <f>D20*Assumptions!$C$21*Assumptions!$H$8</f>
        <v>17087.7</v>
      </c>
      <c r="E32" s="32">
        <f>E20*Assumptions!$C$21*Assumptions!$H$8</f>
        <v>17600.331</v>
      </c>
      <c r="F32" s="32">
        <f>F20*Assumptions!$C$21*Assumptions!$H$8</f>
        <v>18128.34093</v>
      </c>
      <c r="G32" s="32">
        <f>G20*Assumptions!$C$21*Assumptions!$H$8</f>
        <v>18672.19116</v>
      </c>
      <c r="H32" s="32">
        <f>H20*Assumptions!$C$21*Assumptions!$H$8</f>
        <v>19232.35689</v>
      </c>
      <c r="I32" s="32">
        <f>I20*Assumptions!$C$21*Assumptions!$H$8</f>
        <v>19809.3276</v>
      </c>
      <c r="J32" s="32">
        <f>J20*Assumptions!$C$21*Assumptions!$H$8</f>
        <v>20403.60743</v>
      </c>
      <c r="K32" s="32">
        <f>K20*Assumptions!$C$21*Assumptions!$H$8</f>
        <v>21015.71565</v>
      </c>
      <c r="L32" s="32">
        <f>L20*Assumptions!$C$21*Assumptions!$H$8</f>
        <v>21646.18712</v>
      </c>
      <c r="M32" s="32">
        <f>M20*Assumptions!$C$21*Assumptions!$H$8</f>
        <v>22295.57273</v>
      </c>
      <c r="N32" s="32">
        <f>N20*Assumptions!$C$21*Assumptions!$H$8</f>
        <v>22964.43992</v>
      </c>
    </row>
    <row r="33" ht="15.75" customHeight="1">
      <c r="A33" s="9" t="s">
        <v>138</v>
      </c>
      <c r="B33" s="9" t="s">
        <v>96</v>
      </c>
      <c r="C33" s="32">
        <f>C21*Assumptions!$C$22*Assumptions!$H$8</f>
        <v>2625</v>
      </c>
      <c r="D33" s="32">
        <f>D21*Assumptions!$C$22*Assumptions!$H$8</f>
        <v>2703.75</v>
      </c>
      <c r="E33" s="32">
        <f>E21*Assumptions!$C$22*Assumptions!$H$8</f>
        <v>2784.8625</v>
      </c>
      <c r="F33" s="32">
        <f>F21*Assumptions!$C$22*Assumptions!$H$8</f>
        <v>2868.408375</v>
      </c>
      <c r="G33" s="32">
        <f>G21*Assumptions!$C$22*Assumptions!$H$8</f>
        <v>2954.460626</v>
      </c>
      <c r="H33" s="32">
        <f>H21*Assumptions!$C$22*Assumptions!$H$8</f>
        <v>3043.094445</v>
      </c>
      <c r="I33" s="32">
        <f>I21*Assumptions!$C$22*Assumptions!$H$8</f>
        <v>3134.387278</v>
      </c>
      <c r="J33" s="32">
        <f>J21*Assumptions!$C$22*Assumptions!$H$8</f>
        <v>3228.418897</v>
      </c>
      <c r="K33" s="32">
        <f>K21*Assumptions!$C$22*Assumptions!$H$8</f>
        <v>3325.271464</v>
      </c>
      <c r="L33" s="32">
        <f>L21*Assumptions!$C$22*Assumptions!$H$8</f>
        <v>3425.029608</v>
      </c>
      <c r="M33" s="32">
        <f>M21*Assumptions!$C$22*Assumptions!$H$8</f>
        <v>3527.780496</v>
      </c>
      <c r="N33" s="32">
        <f>N21*Assumptions!$C$22*Assumptions!$H$8</f>
        <v>3633.613911</v>
      </c>
    </row>
    <row r="34" ht="15.75" customHeight="1">
      <c r="A34" s="9" t="s">
        <v>141</v>
      </c>
      <c r="B34" s="9" t="s">
        <v>96</v>
      </c>
      <c r="C34" s="32">
        <f>C22*Assumptions!$D$20*Assumptions!$H$8</f>
        <v>15785</v>
      </c>
      <c r="D34" s="32">
        <f>D22*Assumptions!$D$20*Assumptions!$H$8</f>
        <v>16179.625</v>
      </c>
      <c r="E34" s="32">
        <f>E22*Assumptions!$D$20*Assumptions!$H$8</f>
        <v>16584.11563</v>
      </c>
      <c r="F34" s="32">
        <f>F22*Assumptions!$D$20*Assumptions!$H$8</f>
        <v>16998.71852</v>
      </c>
      <c r="G34" s="32">
        <f>G22*Assumptions!$D$20*Assumptions!$H$8</f>
        <v>17423.68648</v>
      </c>
      <c r="H34" s="32">
        <f>H22*Assumptions!$D$20*Assumptions!$H$8</f>
        <v>17859.27864</v>
      </c>
      <c r="I34" s="32">
        <f>I22*Assumptions!$D$20*Assumptions!$H$8</f>
        <v>18305.76061</v>
      </c>
      <c r="J34" s="32">
        <f>J22*Assumptions!$D$20*Assumptions!$H$8</f>
        <v>18763.40462</v>
      </c>
      <c r="K34" s="32">
        <f>K22*Assumptions!$D$20*Assumptions!$H$8</f>
        <v>19232.48974</v>
      </c>
      <c r="L34" s="32">
        <f>L22*Assumptions!$D$20*Assumptions!$H$8</f>
        <v>19713.30198</v>
      </c>
      <c r="M34" s="32">
        <f>M22*Assumptions!$D$20*Assumptions!$H$8</f>
        <v>20206.13453</v>
      </c>
      <c r="N34" s="32">
        <f>N22*Assumptions!$D$20*Assumptions!$H$8</f>
        <v>20711.28789</v>
      </c>
    </row>
    <row r="35" ht="15.75" customHeight="1">
      <c r="A35" s="9" t="s">
        <v>143</v>
      </c>
      <c r="B35" s="9" t="s">
        <v>96</v>
      </c>
      <c r="C35" s="32">
        <f>C23*Assumptions!$D$21*Assumptions!$H$8</f>
        <v>13125</v>
      </c>
      <c r="D35" s="32">
        <f>D23*Assumptions!$D$21*Assumptions!$H$8</f>
        <v>13453.125</v>
      </c>
      <c r="E35" s="32">
        <f>E23*Assumptions!$D$21*Assumptions!$H$8</f>
        <v>13789.45313</v>
      </c>
      <c r="F35" s="32">
        <f>F23*Assumptions!$D$21*Assumptions!$H$8</f>
        <v>14134.18945</v>
      </c>
      <c r="G35" s="32">
        <f>G23*Assumptions!$D$21*Assumptions!$H$8</f>
        <v>14487.54419</v>
      </c>
      <c r="H35" s="32">
        <f>H23*Assumptions!$D$21*Assumptions!$H$8</f>
        <v>14849.73279</v>
      </c>
      <c r="I35" s="32">
        <f>I23*Assumptions!$D$21*Assumptions!$H$8</f>
        <v>15220.97611</v>
      </c>
      <c r="J35" s="32">
        <f>J23*Assumptions!$D$21*Assumptions!$H$8</f>
        <v>15601.50052</v>
      </c>
      <c r="K35" s="32">
        <f>K23*Assumptions!$D$21*Assumptions!$H$8</f>
        <v>15991.53803</v>
      </c>
      <c r="L35" s="32">
        <f>L23*Assumptions!$D$21*Assumptions!$H$8</f>
        <v>16391.32648</v>
      </c>
      <c r="M35" s="32">
        <f>M23*Assumptions!$D$21*Assumptions!$H$8</f>
        <v>16801.10964</v>
      </c>
      <c r="N35" s="32">
        <f>N23*Assumptions!$D$21*Assumptions!$H$8</f>
        <v>17221.13738</v>
      </c>
    </row>
    <row r="36" ht="15.75" customHeight="1">
      <c r="A36" s="9" t="s">
        <v>144</v>
      </c>
      <c r="B36" s="9" t="s">
        <v>96</v>
      </c>
      <c r="C36" s="32">
        <f>C24*Assumptions!$D$22*Assumptions!$H$8</f>
        <v>2047.5</v>
      </c>
      <c r="D36" s="32">
        <f>D24*Assumptions!$D$22*Assumptions!$H$8</f>
        <v>2098.6875</v>
      </c>
      <c r="E36" s="32">
        <f>E24*Assumptions!$D$22*Assumptions!$H$8</f>
        <v>2151.154688</v>
      </c>
      <c r="F36" s="32">
        <f>F24*Assumptions!$D$22*Assumptions!$H$8</f>
        <v>2204.933555</v>
      </c>
      <c r="G36" s="32">
        <f>G24*Assumptions!$D$22*Assumptions!$H$8</f>
        <v>2260.056894</v>
      </c>
      <c r="H36" s="32">
        <f>H24*Assumptions!$D$22*Assumptions!$H$8</f>
        <v>2316.558316</v>
      </c>
      <c r="I36" s="32">
        <f>I24*Assumptions!$D$22*Assumptions!$H$8</f>
        <v>2374.472274</v>
      </c>
      <c r="J36" s="32">
        <f>J24*Assumptions!$D$22*Assumptions!$H$8</f>
        <v>2433.834081</v>
      </c>
      <c r="K36" s="32">
        <f>K24*Assumptions!$D$22*Assumptions!$H$8</f>
        <v>2494.679933</v>
      </c>
      <c r="L36" s="32">
        <f>L24*Assumptions!$D$22*Assumptions!$H$8</f>
        <v>2557.046931</v>
      </c>
      <c r="M36" s="32">
        <f>M24*Assumptions!$D$22*Assumptions!$H$8</f>
        <v>2620.973104</v>
      </c>
      <c r="N36" s="32">
        <f>N24*Assumptions!$D$22*Assumptions!$H$8</f>
        <v>2686.497432</v>
      </c>
    </row>
    <row r="37" ht="15.75" customHeight="1">
      <c r="A37" s="33" t="s">
        <v>164</v>
      </c>
      <c r="B37" s="33" t="s">
        <v>96</v>
      </c>
      <c r="C37" s="41">
        <f t="shared" ref="C37:N37" si="2">SUM(C28:C36)</f>
        <v>264942.5</v>
      </c>
      <c r="D37" s="41">
        <f t="shared" si="2"/>
        <v>274683.4875</v>
      </c>
      <c r="E37" s="41">
        <f t="shared" si="2"/>
        <v>284790.7349</v>
      </c>
      <c r="F37" s="41">
        <f t="shared" si="2"/>
        <v>295278.2494</v>
      </c>
      <c r="G37" s="41">
        <f t="shared" si="2"/>
        <v>306160.5803</v>
      </c>
      <c r="H37" s="41">
        <f t="shared" si="2"/>
        <v>317452.8408</v>
      </c>
      <c r="I37" s="41">
        <f t="shared" si="2"/>
        <v>329170.7297</v>
      </c>
      <c r="J37" s="41">
        <f t="shared" si="2"/>
        <v>341330.5543</v>
      </c>
      <c r="K37" s="41">
        <f t="shared" si="2"/>
        <v>353949.2544</v>
      </c>
      <c r="L37" s="41">
        <f t="shared" si="2"/>
        <v>367044.4267</v>
      </c>
      <c r="M37" s="41">
        <f t="shared" si="2"/>
        <v>380634.3509</v>
      </c>
      <c r="N37" s="41">
        <f t="shared" si="2"/>
        <v>394738.0161</v>
      </c>
    </row>
    <row r="38" ht="15.75" customHeight="1">
      <c r="A38" s="9"/>
      <c r="B38" s="9"/>
      <c r="C38" s="9"/>
      <c r="D38" s="9"/>
      <c r="E38" s="9"/>
      <c r="F38" s="9"/>
      <c r="G38" s="9"/>
      <c r="H38" s="9"/>
      <c r="I38" s="9"/>
      <c r="J38" s="9"/>
      <c r="K38" s="9"/>
      <c r="L38" s="9"/>
      <c r="M38" s="9"/>
      <c r="N38" s="9"/>
    </row>
    <row r="39" ht="19.5" customHeight="1">
      <c r="A39" s="14" t="s">
        <v>150</v>
      </c>
      <c r="B39" s="3"/>
      <c r="C39" s="3"/>
      <c r="D39" s="3"/>
      <c r="E39" s="3"/>
      <c r="F39" s="3"/>
      <c r="G39" s="3"/>
      <c r="H39" s="3"/>
      <c r="I39" s="3"/>
      <c r="J39" s="3"/>
      <c r="K39" s="3"/>
      <c r="L39" s="3"/>
      <c r="M39" s="3"/>
      <c r="N39" s="5"/>
    </row>
    <row r="40" ht="15.75" customHeight="1">
      <c r="A40" s="9" t="s">
        <v>164</v>
      </c>
      <c r="B40" s="9" t="s">
        <v>96</v>
      </c>
      <c r="C40" s="32">
        <f t="shared" ref="C40:N40" si="3">C37</f>
        <v>264942.5</v>
      </c>
      <c r="D40" s="32">
        <f t="shared" si="3"/>
        <v>274683.4875</v>
      </c>
      <c r="E40" s="32">
        <f t="shared" si="3"/>
        <v>284790.7349</v>
      </c>
      <c r="F40" s="32">
        <f t="shared" si="3"/>
        <v>295278.2494</v>
      </c>
      <c r="G40" s="32">
        <f t="shared" si="3"/>
        <v>306160.5803</v>
      </c>
      <c r="H40" s="32">
        <f t="shared" si="3"/>
        <v>317452.8408</v>
      </c>
      <c r="I40" s="32">
        <f t="shared" si="3"/>
        <v>329170.7297</v>
      </c>
      <c r="J40" s="32">
        <f t="shared" si="3"/>
        <v>341330.5543</v>
      </c>
      <c r="K40" s="32">
        <f t="shared" si="3"/>
        <v>353949.2544</v>
      </c>
      <c r="L40" s="32">
        <f t="shared" si="3"/>
        <v>367044.4267</v>
      </c>
      <c r="M40" s="32">
        <f t="shared" si="3"/>
        <v>380634.3509</v>
      </c>
      <c r="N40" s="32">
        <f t="shared" si="3"/>
        <v>394738.0161</v>
      </c>
    </row>
    <row r="41" ht="15.75" customHeight="1">
      <c r="A41" s="9" t="s">
        <v>57</v>
      </c>
      <c r="B41" s="9" t="s">
        <v>96</v>
      </c>
      <c r="C41" s="32">
        <f>-(C28+C29+C30)*Assumptions!$D$14-(C31+C32+C33)*Assumptions!$D$15-(C34+C35+C36)*Assumptions!$D$16</f>
        <v>-8250.695</v>
      </c>
      <c r="D41" s="32">
        <f>-(D28+D29+D30)*Assumptions!$D$14-(D31+D32+D33)*Assumptions!$D$15-(D34+D35+D36)*Assumptions!$D$16</f>
        <v>-8552.796475</v>
      </c>
      <c r="E41" s="32">
        <f>-(E28+E29+E30)*Assumptions!$D$14-(E31+E32+E33)*Assumptions!$D$15-(E34+E35+E36)*Assumptions!$D$16</f>
        <v>-8866.26031</v>
      </c>
      <c r="F41" s="32">
        <f>-(F28+F29+F30)*Assumptions!$D$14-(F31+F32+F33)*Assumptions!$D$15-(F34+F35+F36)*Assumptions!$D$16</f>
        <v>-9191.52225</v>
      </c>
      <c r="G41" s="32">
        <f>-(G28+G29+G30)*Assumptions!$D$14-(G31+G32+G33)*Assumptions!$D$15-(G34+G35+G36)*Assumptions!$D$16</f>
        <v>-9529.034982</v>
      </c>
      <c r="H41" s="32">
        <f>-(H28+H29+H30)*Assumptions!$D$14-(H31+H32+H33)*Assumptions!$D$15-(H34+H35+H36)*Assumptions!$D$16</f>
        <v>-9879.268795</v>
      </c>
      <c r="I41" s="32">
        <f>-(I28+I29+I30)*Assumptions!$D$14-(I31+I32+I33)*Assumptions!$D$15-(I34+I35+I36)*Assumptions!$D$16</f>
        <v>-10242.71228</v>
      </c>
      <c r="J41" s="32">
        <f>-(J28+J29+J30)*Assumptions!$D$14-(J31+J32+J33)*Assumptions!$D$15-(J34+J35+J36)*Assumptions!$D$16</f>
        <v>-10619.87302</v>
      </c>
      <c r="K41" s="32">
        <f>-(K28+K29+K30)*Assumptions!$D$14-(K31+K32+K33)*Assumptions!$D$15-(K34+K35+K36)*Assumptions!$D$16</f>
        <v>-11011.2784</v>
      </c>
      <c r="L41" s="32">
        <f>-(L28+L29+L30)*Assumptions!$D$14-(L31+L32+L33)*Assumptions!$D$15-(L34+L35+L36)*Assumptions!$D$16</f>
        <v>-11417.4763</v>
      </c>
      <c r="M41" s="32">
        <f>-(M28+M29+M30)*Assumptions!$D$14-(M31+M32+M33)*Assumptions!$D$15-(M34+M35+M36)*Assumptions!$D$16</f>
        <v>-11839.03596</v>
      </c>
      <c r="N41" s="32">
        <f>-(N28+N29+N30)*Assumptions!$D$14-(N31+N32+N33)*Assumptions!$D$15-(N34+N35+N36)*Assumptions!$D$16</f>
        <v>-12276.54881</v>
      </c>
    </row>
    <row r="42" ht="15.75" customHeight="1">
      <c r="A42" s="33" t="s">
        <v>150</v>
      </c>
      <c r="B42" s="33" t="s">
        <v>96</v>
      </c>
      <c r="C42" s="41">
        <f t="shared" ref="C42:N42" si="4">SUM(C40:C41)</f>
        <v>256691.805</v>
      </c>
      <c r="D42" s="41">
        <f t="shared" si="4"/>
        <v>266130.691</v>
      </c>
      <c r="E42" s="41">
        <f t="shared" si="4"/>
        <v>275924.4746</v>
      </c>
      <c r="F42" s="41">
        <f t="shared" si="4"/>
        <v>286086.7271</v>
      </c>
      <c r="G42" s="41">
        <f t="shared" si="4"/>
        <v>296631.5453</v>
      </c>
      <c r="H42" s="41">
        <f t="shared" si="4"/>
        <v>307573.572</v>
      </c>
      <c r="I42" s="41">
        <f t="shared" si="4"/>
        <v>318928.0174</v>
      </c>
      <c r="J42" s="41">
        <f t="shared" si="4"/>
        <v>330710.6813</v>
      </c>
      <c r="K42" s="41">
        <f t="shared" si="4"/>
        <v>342937.976</v>
      </c>
      <c r="L42" s="41">
        <f t="shared" si="4"/>
        <v>355626.9504</v>
      </c>
      <c r="M42" s="41">
        <f t="shared" si="4"/>
        <v>368795.315</v>
      </c>
      <c r="N42" s="41">
        <f t="shared" si="4"/>
        <v>382461.4673</v>
      </c>
    </row>
    <row r="43" ht="15.75" customHeight="1">
      <c r="A43" s="9" t="s">
        <v>168</v>
      </c>
      <c r="B43" s="9" t="s">
        <v>154</v>
      </c>
      <c r="C43" s="42" t="str">
        <f>"-"</f>
        <v>-</v>
      </c>
      <c r="D43" s="42">
        <f t="shared" ref="D43:N43" si="5">D42/C42-1</f>
        <v>0.03677127918</v>
      </c>
      <c r="E43" s="42">
        <f t="shared" si="5"/>
        <v>0.03680065446</v>
      </c>
      <c r="F43" s="42">
        <f t="shared" si="5"/>
        <v>0.03682983361</v>
      </c>
      <c r="G43" s="42">
        <f t="shared" si="5"/>
        <v>0.03685881651</v>
      </c>
      <c r="H43" s="42">
        <f t="shared" si="5"/>
        <v>0.03688760308</v>
      </c>
      <c r="I43" s="42">
        <f t="shared" si="5"/>
        <v>0.03691619325</v>
      </c>
      <c r="J43" s="42">
        <f t="shared" si="5"/>
        <v>0.036944587</v>
      </c>
      <c r="K43" s="42">
        <f t="shared" si="5"/>
        <v>0.03697278434</v>
      </c>
      <c r="L43" s="42">
        <f t="shared" si="5"/>
        <v>0.0370007853</v>
      </c>
      <c r="M43" s="42">
        <f t="shared" si="5"/>
        <v>0.03702858993</v>
      </c>
      <c r="N43" s="42">
        <f t="shared" si="5"/>
        <v>0.03705619834</v>
      </c>
    </row>
    <row r="44" ht="15.75" customHeight="1">
      <c r="A44" s="9" t="s">
        <v>171</v>
      </c>
      <c r="B44" s="9" t="s">
        <v>172</v>
      </c>
      <c r="C44" s="32">
        <f t="shared" ref="C44:N44" si="6">C42/C25</f>
        <v>87.01417119</v>
      </c>
      <c r="D44" s="32">
        <f t="shared" si="6"/>
        <v>87.09177486</v>
      </c>
      <c r="E44" s="32">
        <f t="shared" si="6"/>
        <v>87.16922199</v>
      </c>
      <c r="F44" s="32">
        <f t="shared" si="6"/>
        <v>87.2465077</v>
      </c>
      <c r="G44" s="32">
        <f t="shared" si="6"/>
        <v>87.32362718</v>
      </c>
      <c r="H44" s="32">
        <f t="shared" si="6"/>
        <v>87.40057569</v>
      </c>
      <c r="I44" s="32">
        <f t="shared" si="6"/>
        <v>87.47734854</v>
      </c>
      <c r="J44" s="32">
        <f t="shared" si="6"/>
        <v>87.55394111</v>
      </c>
      <c r="K44" s="32">
        <f t="shared" si="6"/>
        <v>87.63034885</v>
      </c>
      <c r="L44" s="32">
        <f t="shared" si="6"/>
        <v>87.70656726</v>
      </c>
      <c r="M44" s="32">
        <f t="shared" si="6"/>
        <v>87.78259193</v>
      </c>
      <c r="N44" s="32">
        <f t="shared" si="6"/>
        <v>87.85841851</v>
      </c>
    </row>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A1:N1"/>
    <mergeCell ref="A2:N2"/>
    <mergeCell ref="A6:N6"/>
    <mergeCell ref="A9:N9"/>
    <mergeCell ref="A12:N12"/>
    <mergeCell ref="A15:N15"/>
    <mergeCell ref="A27:N27"/>
    <mergeCell ref="A39:N39"/>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1.0"/>
    <col customWidth="1" min="2" max="2" width="16.0"/>
    <col customWidth="1" min="3" max="14" width="13.0"/>
    <col customWidth="1" min="15" max="26" width="8.63"/>
  </cols>
  <sheetData>
    <row r="1" ht="27.75" customHeight="1">
      <c r="A1" s="1" t="s">
        <v>34</v>
      </c>
      <c r="B1" s="3"/>
      <c r="C1" s="3"/>
      <c r="D1" s="3"/>
      <c r="E1" s="3"/>
      <c r="F1" s="3"/>
      <c r="G1" s="3"/>
      <c r="H1" s="3"/>
      <c r="I1" s="3"/>
      <c r="J1" s="3"/>
      <c r="K1" s="3"/>
      <c r="L1" s="3"/>
      <c r="M1" s="3"/>
      <c r="N1" s="5"/>
    </row>
    <row r="2" ht="21.75" customHeight="1">
      <c r="A2" s="7" t="s">
        <v>37</v>
      </c>
      <c r="B2" s="3"/>
      <c r="C2" s="3"/>
      <c r="D2" s="3"/>
      <c r="E2" s="3"/>
      <c r="F2" s="3"/>
      <c r="G2" s="3"/>
      <c r="H2" s="3"/>
      <c r="I2" s="3"/>
      <c r="J2" s="3"/>
      <c r="K2" s="3"/>
      <c r="L2" s="3"/>
      <c r="M2" s="3"/>
      <c r="N2" s="5"/>
    </row>
    <row r="3">
      <c r="A3" s="9"/>
      <c r="B3" s="9"/>
      <c r="C3" s="9"/>
      <c r="D3" s="9"/>
      <c r="E3" s="9"/>
      <c r="F3" s="9"/>
      <c r="G3" s="9"/>
      <c r="H3" s="9"/>
      <c r="I3" s="9"/>
      <c r="J3" s="9"/>
      <c r="K3" s="9"/>
      <c r="L3" s="9"/>
      <c r="M3" s="9"/>
      <c r="N3" s="9"/>
    </row>
    <row r="4">
      <c r="A4" s="13" t="s">
        <v>11</v>
      </c>
      <c r="B4" s="13" t="s">
        <v>13</v>
      </c>
      <c r="C4" s="13" t="s">
        <v>15</v>
      </c>
      <c r="D4" s="13" t="s">
        <v>17</v>
      </c>
      <c r="E4" s="13" t="s">
        <v>18</v>
      </c>
      <c r="F4" s="13" t="s">
        <v>19</v>
      </c>
      <c r="G4" s="13" t="s">
        <v>20</v>
      </c>
      <c r="H4" s="13" t="s">
        <v>22</v>
      </c>
      <c r="I4" s="13" t="s">
        <v>23</v>
      </c>
      <c r="J4" s="13" t="s">
        <v>24</v>
      </c>
      <c r="K4" s="13" t="s">
        <v>25</v>
      </c>
      <c r="L4" s="13" t="s">
        <v>26</v>
      </c>
      <c r="M4" s="13" t="s">
        <v>27</v>
      </c>
      <c r="N4" s="13" t="s">
        <v>28</v>
      </c>
    </row>
    <row r="5">
      <c r="A5" s="9"/>
      <c r="B5" s="9"/>
      <c r="C5" s="9"/>
      <c r="D5" s="9"/>
      <c r="E5" s="9"/>
      <c r="F5" s="9"/>
      <c r="G5" s="9"/>
      <c r="H5" s="9"/>
      <c r="I5" s="9"/>
      <c r="J5" s="9"/>
      <c r="K5" s="9"/>
      <c r="L5" s="9"/>
      <c r="M5" s="9"/>
      <c r="N5" s="9"/>
    </row>
    <row r="6" ht="19.5" customHeight="1">
      <c r="A6" s="14" t="s">
        <v>48</v>
      </c>
      <c r="B6" s="3"/>
      <c r="C6" s="3"/>
      <c r="D6" s="3"/>
      <c r="E6" s="3"/>
      <c r="F6" s="3"/>
      <c r="G6" s="3"/>
      <c r="H6" s="3"/>
      <c r="I6" s="3"/>
      <c r="J6" s="3"/>
      <c r="K6" s="3"/>
      <c r="L6" s="3"/>
      <c r="M6" s="3"/>
      <c r="N6" s="5"/>
    </row>
    <row r="7">
      <c r="A7" s="9" t="s">
        <v>49</v>
      </c>
      <c r="B7" s="9" t="s">
        <v>33</v>
      </c>
      <c r="C7" s="17">
        <f>Revenue!C16+Revenue!C19+Revenue!C22</f>
        <v>1622.5</v>
      </c>
      <c r="D7" s="17">
        <f>Revenue!D16+Revenue!D19+Revenue!D22</f>
        <v>1680.6625</v>
      </c>
      <c r="E7" s="17">
        <f>Revenue!E16+Revenue!E19+Revenue!E22</f>
        <v>1740.963813</v>
      </c>
      <c r="F7" s="17">
        <f>Revenue!F16+Revenue!F19+Revenue!F22</f>
        <v>1803.48422</v>
      </c>
      <c r="G7" s="17">
        <f>Revenue!G16+Revenue!G19+Revenue!G22</f>
        <v>1868.307068</v>
      </c>
      <c r="H7" s="17">
        <f>Revenue!H16+Revenue!H19+Revenue!H22</f>
        <v>1935.518883</v>
      </c>
      <c r="I7" s="17">
        <f>Revenue!I16+Revenue!I19+Revenue!I22</f>
        <v>2005.209491</v>
      </c>
      <c r="J7" s="17">
        <f>Revenue!J16+Revenue!J19+Revenue!J22</f>
        <v>2077.472155</v>
      </c>
      <c r="K7" s="17">
        <f>Revenue!K16+Revenue!K19+Revenue!K22</f>
        <v>2152.403697</v>
      </c>
      <c r="L7" s="17">
        <f>Revenue!L16+Revenue!L19+Revenue!L22</f>
        <v>2230.104641</v>
      </c>
      <c r="M7" s="17">
        <f>Revenue!M16+Revenue!M19+Revenue!M22</f>
        <v>2310.679359</v>
      </c>
      <c r="N7" s="17">
        <f>Revenue!N16+Revenue!N19+Revenue!N22</f>
        <v>2394.236211</v>
      </c>
    </row>
    <row r="8">
      <c r="A8" s="9" t="s">
        <v>66</v>
      </c>
      <c r="B8" s="9" t="s">
        <v>33</v>
      </c>
      <c r="C8" s="17">
        <f>Assumptions!$G$20</f>
        <v>1400</v>
      </c>
      <c r="D8" s="17">
        <f t="shared" ref="D8:N8" si="1">C11</f>
        <v>4056.25</v>
      </c>
      <c r="E8" s="17">
        <f t="shared" si="1"/>
        <v>4201.65625</v>
      </c>
      <c r="F8" s="17">
        <f t="shared" si="1"/>
        <v>4352.409531</v>
      </c>
      <c r="G8" s="17">
        <f t="shared" si="1"/>
        <v>4508.710551</v>
      </c>
      <c r="H8" s="17">
        <f t="shared" si="1"/>
        <v>4670.767671</v>
      </c>
      <c r="I8" s="17">
        <f t="shared" si="1"/>
        <v>4838.797206</v>
      </c>
      <c r="J8" s="17">
        <f t="shared" si="1"/>
        <v>5013.023729</v>
      </c>
      <c r="K8" s="17">
        <f t="shared" si="1"/>
        <v>5193.680388</v>
      </c>
      <c r="L8" s="17">
        <f t="shared" si="1"/>
        <v>5381.009242</v>
      </c>
      <c r="M8" s="17">
        <f t="shared" si="1"/>
        <v>5575.261604</v>
      </c>
      <c r="N8" s="17">
        <f t="shared" si="1"/>
        <v>5776.698396</v>
      </c>
    </row>
    <row r="9">
      <c r="A9" s="9" t="s">
        <v>78</v>
      </c>
      <c r="B9" s="9" t="s">
        <v>33</v>
      </c>
      <c r="C9" s="17">
        <f>C7*Assumptions!$B$26/30</f>
        <v>4056.25</v>
      </c>
      <c r="D9" s="17">
        <f>D7*Assumptions!$B$26/30</f>
        <v>4201.65625</v>
      </c>
      <c r="E9" s="17">
        <f>E7*Assumptions!$B$26/30</f>
        <v>4352.409531</v>
      </c>
      <c r="F9" s="17">
        <f>F7*Assumptions!$B$26/30</f>
        <v>4508.710551</v>
      </c>
      <c r="G9" s="17">
        <f>G7*Assumptions!$B$26/30</f>
        <v>4670.767671</v>
      </c>
      <c r="H9" s="17">
        <f>H7*Assumptions!$B$26/30</f>
        <v>4838.797206</v>
      </c>
      <c r="I9" s="17">
        <f>I7*Assumptions!$B$26/30</f>
        <v>5013.023729</v>
      </c>
      <c r="J9" s="17">
        <f>J7*Assumptions!$B$26/30</f>
        <v>5193.680388</v>
      </c>
      <c r="K9" s="17">
        <f>K7*Assumptions!$B$26/30</f>
        <v>5381.009242</v>
      </c>
      <c r="L9" s="17">
        <f>L7*Assumptions!$B$26/30</f>
        <v>5575.261604</v>
      </c>
      <c r="M9" s="17">
        <f>M7*Assumptions!$B$26/30</f>
        <v>5776.698396</v>
      </c>
      <c r="N9" s="17">
        <f>N7*Assumptions!$B$26/30</f>
        <v>5985.590527</v>
      </c>
    </row>
    <row r="10">
      <c r="A10" s="9" t="s">
        <v>114</v>
      </c>
      <c r="B10" s="9" t="s">
        <v>33</v>
      </c>
      <c r="C10" s="17">
        <f t="shared" ref="C10:N10" si="2">MAX(0,C7+C9-C8)</f>
        <v>4278.75</v>
      </c>
      <c r="D10" s="17">
        <f t="shared" si="2"/>
        <v>1826.06875</v>
      </c>
      <c r="E10" s="17">
        <f t="shared" si="2"/>
        <v>1891.717094</v>
      </c>
      <c r="F10" s="17">
        <f t="shared" si="2"/>
        <v>1959.78524</v>
      </c>
      <c r="G10" s="17">
        <f t="shared" si="2"/>
        <v>2030.364189</v>
      </c>
      <c r="H10" s="17">
        <f t="shared" si="2"/>
        <v>2103.548418</v>
      </c>
      <c r="I10" s="17">
        <f t="shared" si="2"/>
        <v>2179.436014</v>
      </c>
      <c r="J10" s="17">
        <f t="shared" si="2"/>
        <v>2258.128814</v>
      </c>
      <c r="K10" s="17">
        <f t="shared" si="2"/>
        <v>2339.732551</v>
      </c>
      <c r="L10" s="17">
        <f t="shared" si="2"/>
        <v>2424.357003</v>
      </c>
      <c r="M10" s="17">
        <f t="shared" si="2"/>
        <v>2512.116151</v>
      </c>
      <c r="N10" s="17">
        <f t="shared" si="2"/>
        <v>2603.128341</v>
      </c>
    </row>
    <row r="11">
      <c r="A11" s="9" t="s">
        <v>129</v>
      </c>
      <c r="B11" s="9" t="s">
        <v>33</v>
      </c>
      <c r="C11" s="17">
        <f t="shared" ref="C11:N11" si="3">C8+C10-C7</f>
        <v>4056.25</v>
      </c>
      <c r="D11" s="17">
        <f t="shared" si="3"/>
        <v>4201.65625</v>
      </c>
      <c r="E11" s="17">
        <f t="shared" si="3"/>
        <v>4352.409531</v>
      </c>
      <c r="F11" s="17">
        <f t="shared" si="3"/>
        <v>4508.710551</v>
      </c>
      <c r="G11" s="17">
        <f t="shared" si="3"/>
        <v>4670.767671</v>
      </c>
      <c r="H11" s="17">
        <f t="shared" si="3"/>
        <v>4838.797206</v>
      </c>
      <c r="I11" s="17">
        <f t="shared" si="3"/>
        <v>5013.023729</v>
      </c>
      <c r="J11" s="17">
        <f t="shared" si="3"/>
        <v>5193.680388</v>
      </c>
      <c r="K11" s="17">
        <f t="shared" si="3"/>
        <v>5381.009242</v>
      </c>
      <c r="L11" s="17">
        <f t="shared" si="3"/>
        <v>5575.261604</v>
      </c>
      <c r="M11" s="17">
        <f t="shared" si="3"/>
        <v>5776.698396</v>
      </c>
      <c r="N11" s="17">
        <f t="shared" si="3"/>
        <v>5985.590527</v>
      </c>
    </row>
    <row r="12">
      <c r="A12" s="9" t="s">
        <v>135</v>
      </c>
      <c r="B12" s="9" t="s">
        <v>96</v>
      </c>
      <c r="C12" s="32">
        <f>C11*Assumptions!$E$20*Assumptions!$H$9</f>
        <v>97350</v>
      </c>
      <c r="D12" s="32">
        <f>D11*Assumptions!$E$20*Assumptions!$H$9</f>
        <v>100839.75</v>
      </c>
      <c r="E12" s="32">
        <f>E11*Assumptions!$E$20*Assumptions!$H$9</f>
        <v>104457.8288</v>
      </c>
      <c r="F12" s="32">
        <f>F11*Assumptions!$E$20*Assumptions!$H$9</f>
        <v>108209.0532</v>
      </c>
      <c r="G12" s="32">
        <f>G11*Assumptions!$E$20*Assumptions!$H$9</f>
        <v>112098.4241</v>
      </c>
      <c r="H12" s="32">
        <f>H11*Assumptions!$E$20*Assumptions!$H$9</f>
        <v>116131.133</v>
      </c>
      <c r="I12" s="32">
        <f>I11*Assumptions!$E$20*Assumptions!$H$9</f>
        <v>120312.5695</v>
      </c>
      <c r="J12" s="32">
        <f>J11*Assumptions!$E$20*Assumptions!$H$9</f>
        <v>124648.3293</v>
      </c>
      <c r="K12" s="32">
        <f>K11*Assumptions!$E$20*Assumptions!$H$9</f>
        <v>129144.2218</v>
      </c>
      <c r="L12" s="32">
        <f>L11*Assumptions!$E$20*Assumptions!$H$9</f>
        <v>133806.2785</v>
      </c>
      <c r="M12" s="32">
        <f>M11*Assumptions!$E$20*Assumptions!$H$9</f>
        <v>138640.7615</v>
      </c>
      <c r="N12" s="32">
        <f>N11*Assumptions!$E$20*Assumptions!$H$9</f>
        <v>143654.1726</v>
      </c>
    </row>
    <row r="13">
      <c r="A13" s="9"/>
      <c r="B13" s="9"/>
      <c r="C13" s="9"/>
      <c r="D13" s="9"/>
      <c r="E13" s="9"/>
      <c r="F13" s="9"/>
      <c r="G13" s="9"/>
      <c r="H13" s="9"/>
      <c r="I13" s="9"/>
      <c r="J13" s="9"/>
      <c r="K13" s="9"/>
      <c r="L13" s="9"/>
      <c r="M13" s="9"/>
      <c r="N13" s="9"/>
    </row>
    <row r="14">
      <c r="A14" s="9"/>
      <c r="B14" s="9"/>
      <c r="C14" s="9"/>
      <c r="D14" s="9"/>
      <c r="E14" s="9"/>
      <c r="F14" s="9"/>
      <c r="G14" s="9"/>
      <c r="H14" s="9"/>
      <c r="I14" s="9"/>
      <c r="J14" s="9"/>
      <c r="K14" s="9"/>
      <c r="L14" s="9"/>
      <c r="M14" s="9"/>
      <c r="N14" s="9"/>
    </row>
    <row r="15" ht="19.5" customHeight="1">
      <c r="A15" s="14" t="s">
        <v>77</v>
      </c>
      <c r="B15" s="3"/>
      <c r="C15" s="3"/>
      <c r="D15" s="3"/>
      <c r="E15" s="3"/>
      <c r="F15" s="3"/>
      <c r="G15" s="3"/>
      <c r="H15" s="3"/>
      <c r="I15" s="3"/>
      <c r="J15" s="3"/>
      <c r="K15" s="3"/>
      <c r="L15" s="3"/>
      <c r="M15" s="3"/>
      <c r="N15" s="5"/>
    </row>
    <row r="16">
      <c r="A16" s="9" t="s">
        <v>49</v>
      </c>
      <c r="B16" s="9" t="s">
        <v>33</v>
      </c>
      <c r="C16" s="17">
        <f>Revenue!C17+Revenue!C20+Revenue!C23</f>
        <v>885</v>
      </c>
      <c r="D16" s="17">
        <f>Revenue!D17+Revenue!D20+Revenue!D23</f>
        <v>916.725</v>
      </c>
      <c r="E16" s="17">
        <f>Revenue!E17+Revenue!E20+Revenue!E23</f>
        <v>949.616625</v>
      </c>
      <c r="F16" s="17">
        <f>Revenue!F17+Revenue!F20+Revenue!F23</f>
        <v>983.7186656</v>
      </c>
      <c r="G16" s="17">
        <f>Revenue!G17+Revenue!G20+Revenue!G23</f>
        <v>1019.076583</v>
      </c>
      <c r="H16" s="17">
        <f>Revenue!H17+Revenue!H20+Revenue!H23</f>
        <v>1055.737572</v>
      </c>
      <c r="I16" s="17">
        <f>Revenue!I17+Revenue!I20+Revenue!I23</f>
        <v>1093.750632</v>
      </c>
      <c r="J16" s="17">
        <f>Revenue!J17+Revenue!J20+Revenue!J23</f>
        <v>1133.16663</v>
      </c>
      <c r="K16" s="17">
        <f>Revenue!K17+Revenue!K20+Revenue!K23</f>
        <v>1174.03838</v>
      </c>
      <c r="L16" s="17">
        <f>Revenue!L17+Revenue!L20+Revenue!L23</f>
        <v>1216.420714</v>
      </c>
      <c r="M16" s="17">
        <f>Revenue!M17+Revenue!M20+Revenue!M23</f>
        <v>1260.370559</v>
      </c>
      <c r="N16" s="17">
        <f>Revenue!N17+Revenue!N20+Revenue!N23</f>
        <v>1305.947024</v>
      </c>
    </row>
    <row r="17">
      <c r="A17" s="9" t="s">
        <v>66</v>
      </c>
      <c r="B17" s="9" t="s">
        <v>33</v>
      </c>
      <c r="C17" s="17">
        <f>Assumptions!$G$21</f>
        <v>650</v>
      </c>
      <c r="D17" s="17">
        <f t="shared" ref="D17:N17" si="4">C20</f>
        <v>2212.5</v>
      </c>
      <c r="E17" s="17">
        <f t="shared" si="4"/>
        <v>2291.8125</v>
      </c>
      <c r="F17" s="17">
        <f t="shared" si="4"/>
        <v>2374.041563</v>
      </c>
      <c r="G17" s="17">
        <f t="shared" si="4"/>
        <v>2459.296664</v>
      </c>
      <c r="H17" s="17">
        <f t="shared" si="4"/>
        <v>2547.691457</v>
      </c>
      <c r="I17" s="17">
        <f t="shared" si="4"/>
        <v>2639.343931</v>
      </c>
      <c r="J17" s="17">
        <f t="shared" si="4"/>
        <v>2734.376579</v>
      </c>
      <c r="K17" s="17">
        <f t="shared" si="4"/>
        <v>2832.916575</v>
      </c>
      <c r="L17" s="17">
        <f t="shared" si="4"/>
        <v>2935.09595</v>
      </c>
      <c r="M17" s="17">
        <f t="shared" si="4"/>
        <v>3041.051784</v>
      </c>
      <c r="N17" s="17">
        <f t="shared" si="4"/>
        <v>3150.926398</v>
      </c>
    </row>
    <row r="18">
      <c r="A18" s="9" t="s">
        <v>78</v>
      </c>
      <c r="B18" s="9" t="s">
        <v>33</v>
      </c>
      <c r="C18" s="17">
        <f>C16*Assumptions!$B$26/30</f>
        <v>2212.5</v>
      </c>
      <c r="D18" s="17">
        <f>D16*Assumptions!$B$26/30</f>
        <v>2291.8125</v>
      </c>
      <c r="E18" s="17">
        <f>E16*Assumptions!$B$26/30</f>
        <v>2374.041563</v>
      </c>
      <c r="F18" s="17">
        <f>F16*Assumptions!$B$26/30</f>
        <v>2459.296664</v>
      </c>
      <c r="G18" s="17">
        <f>G16*Assumptions!$B$26/30</f>
        <v>2547.691457</v>
      </c>
      <c r="H18" s="17">
        <f>H16*Assumptions!$B$26/30</f>
        <v>2639.343931</v>
      </c>
      <c r="I18" s="17">
        <f>I16*Assumptions!$B$26/30</f>
        <v>2734.376579</v>
      </c>
      <c r="J18" s="17">
        <f>J16*Assumptions!$B$26/30</f>
        <v>2832.916575</v>
      </c>
      <c r="K18" s="17">
        <f>K16*Assumptions!$B$26/30</f>
        <v>2935.09595</v>
      </c>
      <c r="L18" s="17">
        <f>L16*Assumptions!$B$26/30</f>
        <v>3041.051784</v>
      </c>
      <c r="M18" s="17">
        <f>M16*Assumptions!$B$26/30</f>
        <v>3150.926398</v>
      </c>
      <c r="N18" s="17">
        <f>N16*Assumptions!$B$26/30</f>
        <v>3264.86756</v>
      </c>
    </row>
    <row r="19">
      <c r="A19" s="9" t="s">
        <v>114</v>
      </c>
      <c r="B19" s="9" t="s">
        <v>33</v>
      </c>
      <c r="C19" s="17">
        <f t="shared" ref="C19:N19" si="5">MAX(0,C16+C18-C17)</f>
        <v>2447.5</v>
      </c>
      <c r="D19" s="17">
        <f t="shared" si="5"/>
        <v>996.0375</v>
      </c>
      <c r="E19" s="17">
        <f t="shared" si="5"/>
        <v>1031.845688</v>
      </c>
      <c r="F19" s="17">
        <f t="shared" si="5"/>
        <v>1068.973767</v>
      </c>
      <c r="G19" s="17">
        <f t="shared" si="5"/>
        <v>1107.471376</v>
      </c>
      <c r="H19" s="17">
        <f t="shared" si="5"/>
        <v>1147.390046</v>
      </c>
      <c r="I19" s="17">
        <f t="shared" si="5"/>
        <v>1188.78328</v>
      </c>
      <c r="J19" s="17">
        <f t="shared" si="5"/>
        <v>1231.706626</v>
      </c>
      <c r="K19" s="17">
        <f t="shared" si="5"/>
        <v>1276.217755</v>
      </c>
      <c r="L19" s="17">
        <f t="shared" si="5"/>
        <v>1322.376547</v>
      </c>
      <c r="M19" s="17">
        <f t="shared" si="5"/>
        <v>1370.245173</v>
      </c>
      <c r="N19" s="17">
        <f t="shared" si="5"/>
        <v>1419.888186</v>
      </c>
    </row>
    <row r="20">
      <c r="A20" s="9" t="s">
        <v>129</v>
      </c>
      <c r="B20" s="9" t="s">
        <v>33</v>
      </c>
      <c r="C20" s="17">
        <f t="shared" ref="C20:N20" si="6">C17+C19-C16</f>
        <v>2212.5</v>
      </c>
      <c r="D20" s="17">
        <f t="shared" si="6"/>
        <v>2291.8125</v>
      </c>
      <c r="E20" s="17">
        <f t="shared" si="6"/>
        <v>2374.041563</v>
      </c>
      <c r="F20" s="17">
        <f t="shared" si="6"/>
        <v>2459.296664</v>
      </c>
      <c r="G20" s="17">
        <f t="shared" si="6"/>
        <v>2547.691457</v>
      </c>
      <c r="H20" s="17">
        <f t="shared" si="6"/>
        <v>2639.343931</v>
      </c>
      <c r="I20" s="17">
        <f t="shared" si="6"/>
        <v>2734.376579</v>
      </c>
      <c r="J20" s="17">
        <f t="shared" si="6"/>
        <v>2832.916575</v>
      </c>
      <c r="K20" s="17">
        <f t="shared" si="6"/>
        <v>2935.09595</v>
      </c>
      <c r="L20" s="17">
        <f t="shared" si="6"/>
        <v>3041.051784</v>
      </c>
      <c r="M20" s="17">
        <f t="shared" si="6"/>
        <v>3150.926398</v>
      </c>
      <c r="N20" s="17">
        <f t="shared" si="6"/>
        <v>3264.86756</v>
      </c>
    </row>
    <row r="21" ht="15.75" customHeight="1">
      <c r="A21" s="9" t="s">
        <v>135</v>
      </c>
      <c r="B21" s="9" t="s">
        <v>96</v>
      </c>
      <c r="C21" s="32">
        <f>C20*Assumptions!$E$21*Assumptions!$H$9</f>
        <v>84075</v>
      </c>
      <c r="D21" s="32">
        <f>D20*Assumptions!$E$21*Assumptions!$H$9</f>
        <v>87088.875</v>
      </c>
      <c r="E21" s="32">
        <f>E20*Assumptions!$E$21*Assumptions!$H$9</f>
        <v>90213.57938</v>
      </c>
      <c r="F21" s="32">
        <f>F20*Assumptions!$E$21*Assumptions!$H$9</f>
        <v>93453.27323</v>
      </c>
      <c r="G21" s="32">
        <f>G20*Assumptions!$E$21*Assumptions!$H$9</f>
        <v>96812.27537</v>
      </c>
      <c r="H21" s="32">
        <f>H20*Assumptions!$E$21*Assumptions!$H$9</f>
        <v>100295.0694</v>
      </c>
      <c r="I21" s="32">
        <f>I20*Assumptions!$E$21*Assumptions!$H$9</f>
        <v>103906.31</v>
      </c>
      <c r="J21" s="32">
        <f>J20*Assumptions!$E$21*Assumptions!$H$9</f>
        <v>107650.8299</v>
      </c>
      <c r="K21" s="32">
        <f>K20*Assumptions!$E$21*Assumptions!$H$9</f>
        <v>111533.6461</v>
      </c>
      <c r="L21" s="32">
        <f>L20*Assumptions!$E$21*Assumptions!$H$9</f>
        <v>115559.9678</v>
      </c>
      <c r="M21" s="32">
        <f>M20*Assumptions!$E$21*Assumptions!$H$9</f>
        <v>119735.2031</v>
      </c>
      <c r="N21" s="32">
        <f>N20*Assumptions!$E$21*Assumptions!$H$9</f>
        <v>124064.9673</v>
      </c>
    </row>
    <row r="22" ht="15.75" customHeight="1">
      <c r="A22" s="9"/>
      <c r="B22" s="9"/>
      <c r="C22" s="9"/>
      <c r="D22" s="9"/>
      <c r="E22" s="9"/>
      <c r="F22" s="9"/>
      <c r="G22" s="9"/>
      <c r="H22" s="9"/>
      <c r="I22" s="9"/>
      <c r="J22" s="9"/>
      <c r="K22" s="9"/>
      <c r="L22" s="9"/>
      <c r="M22" s="9"/>
      <c r="N22" s="9"/>
    </row>
    <row r="23" ht="15.75" customHeight="1">
      <c r="A23" s="9"/>
      <c r="B23" s="9"/>
      <c r="C23" s="9"/>
      <c r="D23" s="9"/>
      <c r="E23" s="9"/>
      <c r="F23" s="9"/>
      <c r="G23" s="9"/>
      <c r="H23" s="9"/>
      <c r="I23" s="9"/>
      <c r="J23" s="9"/>
      <c r="K23" s="9"/>
      <c r="L23" s="9"/>
      <c r="M23" s="9"/>
      <c r="N23" s="9"/>
    </row>
    <row r="24" ht="19.5" customHeight="1">
      <c r="A24" s="14" t="s">
        <v>79</v>
      </c>
      <c r="B24" s="3"/>
      <c r="C24" s="3"/>
      <c r="D24" s="3"/>
      <c r="E24" s="3"/>
      <c r="F24" s="3"/>
      <c r="G24" s="3"/>
      <c r="H24" s="3"/>
      <c r="I24" s="3"/>
      <c r="J24" s="3"/>
      <c r="K24" s="3"/>
      <c r="L24" s="3"/>
      <c r="M24" s="3"/>
      <c r="N24" s="5"/>
    </row>
    <row r="25" ht="15.75" customHeight="1">
      <c r="A25" s="9" t="s">
        <v>49</v>
      </c>
      <c r="B25" s="9" t="s">
        <v>33</v>
      </c>
      <c r="C25" s="17">
        <f>Revenue!C18+Revenue!C21+Revenue!C24</f>
        <v>442.5</v>
      </c>
      <c r="D25" s="17">
        <f>Revenue!D18+Revenue!D21+Revenue!D24</f>
        <v>458.3625</v>
      </c>
      <c r="E25" s="17">
        <f>Revenue!E18+Revenue!E21+Revenue!E24</f>
        <v>474.8083125</v>
      </c>
      <c r="F25" s="17">
        <f>Revenue!F18+Revenue!F21+Revenue!F24</f>
        <v>491.8593328</v>
      </c>
      <c r="G25" s="17">
        <f>Revenue!G18+Revenue!G21+Revenue!G24</f>
        <v>509.5382914</v>
      </c>
      <c r="H25" s="17">
        <f>Revenue!H18+Revenue!H21+Revenue!H24</f>
        <v>527.8687862</v>
      </c>
      <c r="I25" s="17">
        <f>Revenue!I18+Revenue!I21+Revenue!I24</f>
        <v>546.8753159</v>
      </c>
      <c r="J25" s="17">
        <f>Revenue!J18+Revenue!J21+Revenue!J24</f>
        <v>566.583315</v>
      </c>
      <c r="K25" s="17">
        <f>Revenue!K18+Revenue!K21+Revenue!K24</f>
        <v>587.01919</v>
      </c>
      <c r="L25" s="17">
        <f>Revenue!L18+Revenue!L21+Revenue!L24</f>
        <v>608.2103568</v>
      </c>
      <c r="M25" s="17">
        <f>Revenue!M18+Revenue!M21+Revenue!M24</f>
        <v>630.1852796</v>
      </c>
      <c r="N25" s="17">
        <f>Revenue!N18+Revenue!N21+Revenue!N24</f>
        <v>652.973512</v>
      </c>
    </row>
    <row r="26" ht="15.75" customHeight="1">
      <c r="A26" s="9" t="s">
        <v>66</v>
      </c>
      <c r="B26" s="9" t="s">
        <v>33</v>
      </c>
      <c r="C26" s="17">
        <f>Assumptions!$G$22</f>
        <v>900</v>
      </c>
      <c r="D26" s="17">
        <f t="shared" ref="D26:N26" si="7">C29</f>
        <v>1106.25</v>
      </c>
      <c r="E26" s="17">
        <f t="shared" si="7"/>
        <v>1145.90625</v>
      </c>
      <c r="F26" s="17">
        <f t="shared" si="7"/>
        <v>1187.020781</v>
      </c>
      <c r="G26" s="17">
        <f t="shared" si="7"/>
        <v>1229.648332</v>
      </c>
      <c r="H26" s="17">
        <f t="shared" si="7"/>
        <v>1273.845729</v>
      </c>
      <c r="I26" s="17">
        <f t="shared" si="7"/>
        <v>1319.671965</v>
      </c>
      <c r="J26" s="17">
        <f t="shared" si="7"/>
        <v>1367.18829</v>
      </c>
      <c r="K26" s="17">
        <f t="shared" si="7"/>
        <v>1416.458288</v>
      </c>
      <c r="L26" s="17">
        <f t="shared" si="7"/>
        <v>1467.547975</v>
      </c>
      <c r="M26" s="17">
        <f t="shared" si="7"/>
        <v>1520.525892</v>
      </c>
      <c r="N26" s="17">
        <f t="shared" si="7"/>
        <v>1575.463199</v>
      </c>
    </row>
    <row r="27" ht="15.75" customHeight="1">
      <c r="A27" s="9" t="s">
        <v>78</v>
      </c>
      <c r="B27" s="9" t="s">
        <v>33</v>
      </c>
      <c r="C27" s="17">
        <f>C25*Assumptions!$B$26/30</f>
        <v>1106.25</v>
      </c>
      <c r="D27" s="17">
        <f>D25*Assumptions!$B$26/30</f>
        <v>1145.90625</v>
      </c>
      <c r="E27" s="17">
        <f>E25*Assumptions!$B$26/30</f>
        <v>1187.020781</v>
      </c>
      <c r="F27" s="17">
        <f>F25*Assumptions!$B$26/30</f>
        <v>1229.648332</v>
      </c>
      <c r="G27" s="17">
        <f>G25*Assumptions!$B$26/30</f>
        <v>1273.845729</v>
      </c>
      <c r="H27" s="17">
        <f>H25*Assumptions!$B$26/30</f>
        <v>1319.671965</v>
      </c>
      <c r="I27" s="17">
        <f>I25*Assumptions!$B$26/30</f>
        <v>1367.18829</v>
      </c>
      <c r="J27" s="17">
        <f>J25*Assumptions!$B$26/30</f>
        <v>1416.458288</v>
      </c>
      <c r="K27" s="17">
        <f>K25*Assumptions!$B$26/30</f>
        <v>1467.547975</v>
      </c>
      <c r="L27" s="17">
        <f>L25*Assumptions!$B$26/30</f>
        <v>1520.525892</v>
      </c>
      <c r="M27" s="17">
        <f>M25*Assumptions!$B$26/30</f>
        <v>1575.463199</v>
      </c>
      <c r="N27" s="17">
        <f>N25*Assumptions!$B$26/30</f>
        <v>1632.43378</v>
      </c>
    </row>
    <row r="28" ht="15.75" customHeight="1">
      <c r="A28" s="9" t="s">
        <v>114</v>
      </c>
      <c r="B28" s="9" t="s">
        <v>33</v>
      </c>
      <c r="C28" s="17">
        <f t="shared" ref="C28:N28" si="8">MAX(0,C25+C27-C26)</f>
        <v>648.75</v>
      </c>
      <c r="D28" s="17">
        <f t="shared" si="8"/>
        <v>498.01875</v>
      </c>
      <c r="E28" s="17">
        <f t="shared" si="8"/>
        <v>515.9228438</v>
      </c>
      <c r="F28" s="17">
        <f t="shared" si="8"/>
        <v>534.4868836</v>
      </c>
      <c r="G28" s="17">
        <f t="shared" si="8"/>
        <v>553.7356879</v>
      </c>
      <c r="H28" s="17">
        <f t="shared" si="8"/>
        <v>573.695023</v>
      </c>
      <c r="I28" s="17">
        <f t="shared" si="8"/>
        <v>594.3916401</v>
      </c>
      <c r="J28" s="17">
        <f t="shared" si="8"/>
        <v>615.8533129</v>
      </c>
      <c r="K28" s="17">
        <f t="shared" si="8"/>
        <v>638.1088776</v>
      </c>
      <c r="L28" s="17">
        <f t="shared" si="8"/>
        <v>661.1882736</v>
      </c>
      <c r="M28" s="17">
        <f t="shared" si="8"/>
        <v>685.1225867</v>
      </c>
      <c r="N28" s="17">
        <f t="shared" si="8"/>
        <v>709.944093</v>
      </c>
    </row>
    <row r="29" ht="15.75" customHeight="1">
      <c r="A29" s="9" t="s">
        <v>129</v>
      </c>
      <c r="B29" s="9" t="s">
        <v>33</v>
      </c>
      <c r="C29" s="17">
        <f t="shared" ref="C29:N29" si="9">C26+C28-C25</f>
        <v>1106.25</v>
      </c>
      <c r="D29" s="17">
        <f t="shared" si="9"/>
        <v>1145.90625</v>
      </c>
      <c r="E29" s="17">
        <f t="shared" si="9"/>
        <v>1187.020781</v>
      </c>
      <c r="F29" s="17">
        <f t="shared" si="9"/>
        <v>1229.648332</v>
      </c>
      <c r="G29" s="17">
        <f t="shared" si="9"/>
        <v>1273.845729</v>
      </c>
      <c r="H29" s="17">
        <f t="shared" si="9"/>
        <v>1319.671965</v>
      </c>
      <c r="I29" s="17">
        <f t="shared" si="9"/>
        <v>1367.18829</v>
      </c>
      <c r="J29" s="17">
        <f t="shared" si="9"/>
        <v>1416.458288</v>
      </c>
      <c r="K29" s="17">
        <f t="shared" si="9"/>
        <v>1467.547975</v>
      </c>
      <c r="L29" s="17">
        <f t="shared" si="9"/>
        <v>1520.525892</v>
      </c>
      <c r="M29" s="17">
        <f t="shared" si="9"/>
        <v>1575.463199</v>
      </c>
      <c r="N29" s="17">
        <f t="shared" si="9"/>
        <v>1632.43378</v>
      </c>
    </row>
    <row r="30" ht="15.75" customHeight="1">
      <c r="A30" s="9" t="s">
        <v>135</v>
      </c>
      <c r="B30" s="9" t="s">
        <v>96</v>
      </c>
      <c r="C30" s="32">
        <f>C29*Assumptions!$E$22*Assumptions!$H$9</f>
        <v>12168.75</v>
      </c>
      <c r="D30" s="32">
        <f>D29*Assumptions!$E$22*Assumptions!$H$9</f>
        <v>12604.96875</v>
      </c>
      <c r="E30" s="32">
        <f>E29*Assumptions!$E$22*Assumptions!$H$9</f>
        <v>13057.22859</v>
      </c>
      <c r="F30" s="32">
        <f>F29*Assumptions!$E$22*Assumptions!$H$9</f>
        <v>13526.13165</v>
      </c>
      <c r="G30" s="32">
        <f>G29*Assumptions!$E$22*Assumptions!$H$9</f>
        <v>14012.30301</v>
      </c>
      <c r="H30" s="32">
        <f>H29*Assumptions!$E$22*Assumptions!$H$9</f>
        <v>14516.39162</v>
      </c>
      <c r="I30" s="32">
        <f>I29*Assumptions!$E$22*Assumptions!$H$9</f>
        <v>15039.07119</v>
      </c>
      <c r="J30" s="32">
        <f>J29*Assumptions!$E$22*Assumptions!$H$9</f>
        <v>15581.04116</v>
      </c>
      <c r="K30" s="32">
        <f>K29*Assumptions!$E$22*Assumptions!$H$9</f>
        <v>16143.02773</v>
      </c>
      <c r="L30" s="32">
        <f>L29*Assumptions!$E$22*Assumptions!$H$9</f>
        <v>16725.78481</v>
      </c>
      <c r="M30" s="32">
        <f>M29*Assumptions!$E$22*Assumptions!$H$9</f>
        <v>17330.09519</v>
      </c>
      <c r="N30" s="32">
        <f>N29*Assumptions!$E$22*Assumptions!$H$9</f>
        <v>17956.77158</v>
      </c>
    </row>
    <row r="31" ht="15.75" customHeight="1">
      <c r="A31" s="9"/>
      <c r="B31" s="9"/>
      <c r="C31" s="9"/>
      <c r="D31" s="9"/>
      <c r="E31" s="9"/>
      <c r="F31" s="9"/>
      <c r="G31" s="9"/>
      <c r="H31" s="9"/>
      <c r="I31" s="9"/>
      <c r="J31" s="9"/>
      <c r="K31" s="9"/>
      <c r="L31" s="9"/>
      <c r="M31" s="9"/>
      <c r="N31" s="9"/>
    </row>
    <row r="32" ht="15.75" customHeight="1">
      <c r="A32" s="9"/>
      <c r="B32" s="9"/>
      <c r="C32" s="9"/>
      <c r="D32" s="9"/>
      <c r="E32" s="9"/>
      <c r="F32" s="9"/>
      <c r="G32" s="9"/>
      <c r="H32" s="9"/>
      <c r="I32" s="9"/>
      <c r="J32" s="9"/>
      <c r="K32" s="9"/>
      <c r="L32" s="9"/>
      <c r="M32" s="9"/>
      <c r="N32" s="9"/>
    </row>
    <row r="33" ht="19.5" customHeight="1">
      <c r="A33" s="14" t="s">
        <v>163</v>
      </c>
      <c r="B33" s="3"/>
      <c r="C33" s="3"/>
      <c r="D33" s="3"/>
      <c r="E33" s="3"/>
      <c r="F33" s="3"/>
      <c r="G33" s="3"/>
      <c r="H33" s="3"/>
      <c r="I33" s="3"/>
      <c r="J33" s="3"/>
      <c r="K33" s="3"/>
      <c r="L33" s="3"/>
      <c r="M33" s="3"/>
      <c r="N33" s="5"/>
    </row>
    <row r="34" ht="15.75" customHeight="1">
      <c r="A34" s="9" t="s">
        <v>151</v>
      </c>
      <c r="B34" s="9" t="s">
        <v>96</v>
      </c>
      <c r="C34" s="32">
        <f>C7*Assumptions!$E$20*Assumptions!$H$9+C16*Assumptions!$E$21*Assumptions!$H$9+C25*Assumptions!$E$22*Assumptions!$H$9</f>
        <v>77437.5</v>
      </c>
      <c r="D34" s="32">
        <f>D7*Assumptions!$E$20*Assumptions!$H$9+D16*Assumptions!$E$21*Assumptions!$H$9+D25*Assumptions!$E$22*Assumptions!$H$9</f>
        <v>80213.4375</v>
      </c>
      <c r="E34" s="32">
        <f>E7*Assumptions!$E$20*Assumptions!$H$9+E16*Assumptions!$E$21*Assumptions!$H$9+E25*Assumptions!$E$22*Assumptions!$H$9</f>
        <v>83091.45469</v>
      </c>
      <c r="F34" s="32">
        <f>F7*Assumptions!$E$20*Assumptions!$H$9+F16*Assumptions!$E$21*Assumptions!$H$9+F25*Assumptions!$E$22*Assumptions!$H$9</f>
        <v>86075.38324</v>
      </c>
      <c r="G34" s="32">
        <f>G7*Assumptions!$E$20*Assumptions!$H$9+G16*Assumptions!$E$21*Assumptions!$H$9+G25*Assumptions!$E$22*Assumptions!$H$9</f>
        <v>89169.201</v>
      </c>
      <c r="H34" s="32">
        <f>H7*Assumptions!$E$20*Assumptions!$H$9+H16*Assumptions!$E$21*Assumptions!$H$9+H25*Assumptions!$E$22*Assumptions!$H$9</f>
        <v>92377.03758</v>
      </c>
      <c r="I34" s="32">
        <f>I7*Assumptions!$E$20*Assumptions!$H$9+I16*Assumptions!$E$21*Assumptions!$H$9+I25*Assumptions!$E$22*Assumptions!$H$9</f>
        <v>95703.18028</v>
      </c>
      <c r="J34" s="32">
        <f>J7*Assumptions!$E$20*Assumptions!$H$9+J16*Assumptions!$E$21*Assumptions!$H$9+J25*Assumptions!$E$22*Assumptions!$H$9</f>
        <v>99152.08013</v>
      </c>
      <c r="K34" s="32">
        <f>K7*Assumptions!$E$20*Assumptions!$H$9+K16*Assumptions!$E$21*Assumptions!$H$9+K25*Assumptions!$E$22*Assumptions!$H$9</f>
        <v>102728.3583</v>
      </c>
      <c r="L34" s="32">
        <f>L7*Assumptions!$E$20*Assumptions!$H$9+L16*Assumptions!$E$21*Assumptions!$H$9+L25*Assumptions!$E$22*Assumptions!$H$9</f>
        <v>106436.8124</v>
      </c>
      <c r="M34" s="32">
        <f>M7*Assumptions!$E$20*Assumptions!$H$9+M16*Assumptions!$E$21*Assumptions!$H$9+M25*Assumptions!$E$22*Assumptions!$H$9</f>
        <v>110282.4239</v>
      </c>
      <c r="N34" s="32">
        <f>N7*Assumptions!$E$20*Assumptions!$H$9+N16*Assumptions!$E$21*Assumptions!$H$9+N25*Assumptions!$E$22*Assumptions!$H$9</f>
        <v>114270.3646</v>
      </c>
    </row>
    <row r="35" ht="15.75" customHeight="1">
      <c r="A35" s="9" t="s">
        <v>165</v>
      </c>
      <c r="B35" s="9" t="s">
        <v>96</v>
      </c>
      <c r="C35" s="32">
        <f>C10*Assumptions!$E$20*Assumptions!$H$9+C19*Assumptions!$E$21*Assumptions!$H$9+C28*Assumptions!$E$22*Assumptions!$H$9</f>
        <v>202831.25</v>
      </c>
      <c r="D35" s="32">
        <f>D10*Assumptions!$E$20*Assumptions!$H$9+D19*Assumptions!$E$21*Assumptions!$H$9+D28*Assumptions!$E$22*Assumptions!$H$9</f>
        <v>87153.28125</v>
      </c>
      <c r="E35" s="32">
        <f>E10*Assumptions!$E$20*Assumptions!$H$9+E19*Assumptions!$E$21*Assumptions!$H$9+E28*Assumptions!$E$22*Assumptions!$H$9</f>
        <v>90286.49766</v>
      </c>
      <c r="F35" s="32">
        <f>F10*Assumptions!$E$20*Assumptions!$H$9+F19*Assumptions!$E$21*Assumptions!$H$9+F28*Assumptions!$E$22*Assumptions!$H$9</f>
        <v>93535.20463</v>
      </c>
      <c r="G35" s="32">
        <f>G10*Assumptions!$E$20*Assumptions!$H$9+G19*Assumptions!$E$21*Assumptions!$H$9+G28*Assumptions!$E$22*Assumptions!$H$9</f>
        <v>96903.74538</v>
      </c>
      <c r="H35" s="32">
        <f>H10*Assumptions!$E$20*Assumptions!$H$9+H19*Assumptions!$E$21*Assumptions!$H$9+H28*Assumptions!$E$22*Assumptions!$H$9</f>
        <v>100396.629</v>
      </c>
      <c r="I35" s="32">
        <f>I10*Assumptions!$E$20*Assumptions!$H$9+I19*Assumptions!$E$21*Assumptions!$H$9+I28*Assumptions!$E$22*Assumptions!$H$9</f>
        <v>104018.537</v>
      </c>
      <c r="J35" s="32">
        <f>J10*Assumptions!$E$20*Assumptions!$H$9+J19*Assumptions!$E$21*Assumptions!$H$9+J28*Assumptions!$E$22*Assumptions!$H$9</f>
        <v>107774.3298</v>
      </c>
      <c r="K35" s="32">
        <f>K10*Assumptions!$E$20*Assumptions!$H$9+K19*Assumptions!$E$21*Assumptions!$H$9+K28*Assumptions!$E$22*Assumptions!$H$9</f>
        <v>111669.0536</v>
      </c>
      <c r="L35" s="32">
        <f>L10*Assumptions!$E$20*Assumptions!$H$9+L19*Assumptions!$E$21*Assumptions!$H$9+L28*Assumptions!$E$22*Assumptions!$H$9</f>
        <v>115707.9479</v>
      </c>
      <c r="M35" s="32">
        <f>M10*Assumptions!$E$20*Assumptions!$H$9+M19*Assumptions!$E$21*Assumptions!$H$9+M28*Assumptions!$E$22*Assumptions!$H$9</f>
        <v>119896.4527</v>
      </c>
      <c r="N35" s="32">
        <f>N10*Assumptions!$E$20*Assumptions!$H$9+N19*Assumptions!$E$21*Assumptions!$H$9+N28*Assumptions!$E$22*Assumptions!$H$9</f>
        <v>124240.2163</v>
      </c>
    </row>
    <row r="36" ht="15.75" customHeight="1">
      <c r="A36" s="33" t="s">
        <v>129</v>
      </c>
      <c r="B36" s="33" t="s">
        <v>96</v>
      </c>
      <c r="C36" s="41">
        <f t="shared" ref="C36:N36" si="10">SUM(C12,C21,C30)</f>
        <v>193593.75</v>
      </c>
      <c r="D36" s="41">
        <f t="shared" si="10"/>
        <v>200533.5938</v>
      </c>
      <c r="E36" s="41">
        <f t="shared" si="10"/>
        <v>207728.6367</v>
      </c>
      <c r="F36" s="41">
        <f t="shared" si="10"/>
        <v>215188.4581</v>
      </c>
      <c r="G36" s="41">
        <f t="shared" si="10"/>
        <v>222923.0025</v>
      </c>
      <c r="H36" s="41">
        <f t="shared" si="10"/>
        <v>230942.5939</v>
      </c>
      <c r="I36" s="41">
        <f t="shared" si="10"/>
        <v>239257.9507</v>
      </c>
      <c r="J36" s="41">
        <f t="shared" si="10"/>
        <v>247880.2003</v>
      </c>
      <c r="K36" s="41">
        <f t="shared" si="10"/>
        <v>256820.8956</v>
      </c>
      <c r="L36" s="41">
        <f t="shared" si="10"/>
        <v>266092.0311</v>
      </c>
      <c r="M36" s="41">
        <f t="shared" si="10"/>
        <v>275706.0598</v>
      </c>
      <c r="N36" s="41">
        <f t="shared" si="10"/>
        <v>285675.9115</v>
      </c>
    </row>
    <row r="37" ht="15.75" customHeight="1">
      <c r="A37" s="9" t="s">
        <v>167</v>
      </c>
      <c r="B37" s="9" t="s">
        <v>86</v>
      </c>
      <c r="C37" s="43">
        <f t="shared" ref="C37:N37" si="11">C36/C34*30</f>
        <v>75</v>
      </c>
      <c r="D37" s="43">
        <f t="shared" si="11"/>
        <v>75</v>
      </c>
      <c r="E37" s="43">
        <f t="shared" si="11"/>
        <v>75</v>
      </c>
      <c r="F37" s="43">
        <f t="shared" si="11"/>
        <v>75</v>
      </c>
      <c r="G37" s="43">
        <f t="shared" si="11"/>
        <v>75</v>
      </c>
      <c r="H37" s="43">
        <f t="shared" si="11"/>
        <v>75</v>
      </c>
      <c r="I37" s="43">
        <f t="shared" si="11"/>
        <v>75</v>
      </c>
      <c r="J37" s="43">
        <f t="shared" si="11"/>
        <v>75</v>
      </c>
      <c r="K37" s="43">
        <f t="shared" si="11"/>
        <v>75</v>
      </c>
      <c r="L37" s="43">
        <f t="shared" si="11"/>
        <v>75</v>
      </c>
      <c r="M37" s="43">
        <f t="shared" si="11"/>
        <v>75</v>
      </c>
      <c r="N37" s="43">
        <f t="shared" si="11"/>
        <v>75</v>
      </c>
    </row>
    <row r="38" ht="15.75" customHeight="1">
      <c r="A38" s="9" t="s">
        <v>173</v>
      </c>
      <c r="B38" s="9" t="s">
        <v>86</v>
      </c>
      <c r="C38" s="43">
        <f>Assumptions!$B$27</f>
        <v>45</v>
      </c>
      <c r="D38" s="43">
        <f>Assumptions!$B$27</f>
        <v>45</v>
      </c>
      <c r="E38" s="43">
        <f>Assumptions!$B$27</f>
        <v>45</v>
      </c>
      <c r="F38" s="43">
        <f>Assumptions!$B$27</f>
        <v>45</v>
      </c>
      <c r="G38" s="43">
        <f>Assumptions!$B$27</f>
        <v>45</v>
      </c>
      <c r="H38" s="43">
        <f>Assumptions!$B$27</f>
        <v>45</v>
      </c>
      <c r="I38" s="43">
        <f>Assumptions!$B$27</f>
        <v>45</v>
      </c>
      <c r="J38" s="43">
        <f>Assumptions!$B$27</f>
        <v>45</v>
      </c>
      <c r="K38" s="43">
        <f>Assumptions!$B$27</f>
        <v>45</v>
      </c>
      <c r="L38" s="43">
        <f>Assumptions!$B$27</f>
        <v>45</v>
      </c>
      <c r="M38" s="43">
        <f>Assumptions!$B$27</f>
        <v>45</v>
      </c>
      <c r="N38" s="43">
        <f>Assumptions!$B$27</f>
        <v>45</v>
      </c>
    </row>
    <row r="39" ht="15.75" customHeight="1">
      <c r="A39" s="9" t="s">
        <v>179</v>
      </c>
      <c r="B39" s="9" t="s">
        <v>86</v>
      </c>
      <c r="C39" s="43">
        <f t="shared" ref="C39:N39" si="12">C37-C38</f>
        <v>30</v>
      </c>
      <c r="D39" s="43">
        <f t="shared" si="12"/>
        <v>30</v>
      </c>
      <c r="E39" s="43">
        <f t="shared" si="12"/>
        <v>30</v>
      </c>
      <c r="F39" s="43">
        <f t="shared" si="12"/>
        <v>30</v>
      </c>
      <c r="G39" s="43">
        <f t="shared" si="12"/>
        <v>30</v>
      </c>
      <c r="H39" s="43">
        <f t="shared" si="12"/>
        <v>30</v>
      </c>
      <c r="I39" s="43">
        <f t="shared" si="12"/>
        <v>30</v>
      </c>
      <c r="J39" s="43">
        <f t="shared" si="12"/>
        <v>30</v>
      </c>
      <c r="K39" s="43">
        <f t="shared" si="12"/>
        <v>30</v>
      </c>
      <c r="L39" s="43">
        <f t="shared" si="12"/>
        <v>30</v>
      </c>
      <c r="M39" s="43">
        <f t="shared" si="12"/>
        <v>30</v>
      </c>
      <c r="N39" s="43">
        <f t="shared" si="12"/>
        <v>30</v>
      </c>
    </row>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N1"/>
    <mergeCell ref="A2:N2"/>
    <mergeCell ref="A6:N6"/>
    <mergeCell ref="A15:N15"/>
    <mergeCell ref="A24:N24"/>
    <mergeCell ref="A33:N3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1.0"/>
    <col customWidth="1" min="2" max="2" width="16.0"/>
    <col customWidth="1" min="3" max="14" width="13.0"/>
    <col customWidth="1" min="15" max="26" width="8.63"/>
  </cols>
  <sheetData>
    <row r="1" ht="27.75" customHeight="1">
      <c r="A1" s="1" t="s">
        <v>139</v>
      </c>
      <c r="B1" s="3"/>
      <c r="C1" s="3"/>
      <c r="D1" s="3"/>
      <c r="E1" s="3"/>
      <c r="F1" s="3"/>
      <c r="G1" s="3"/>
      <c r="H1" s="3"/>
      <c r="I1" s="3"/>
      <c r="J1" s="3"/>
      <c r="K1" s="3"/>
      <c r="L1" s="3"/>
      <c r="M1" s="3"/>
      <c r="N1" s="5"/>
    </row>
    <row r="2" ht="21.75" customHeight="1">
      <c r="A2" s="7" t="s">
        <v>140</v>
      </c>
      <c r="B2" s="3"/>
      <c r="C2" s="3"/>
      <c r="D2" s="3"/>
      <c r="E2" s="3"/>
      <c r="F2" s="3"/>
      <c r="G2" s="3"/>
      <c r="H2" s="3"/>
      <c r="I2" s="3"/>
      <c r="J2" s="3"/>
      <c r="K2" s="3"/>
      <c r="L2" s="3"/>
      <c r="M2" s="3"/>
      <c r="N2" s="5"/>
    </row>
    <row r="3">
      <c r="A3" s="9"/>
      <c r="B3" s="9"/>
      <c r="C3" s="9"/>
      <c r="D3" s="9"/>
      <c r="E3" s="9"/>
      <c r="F3" s="9"/>
      <c r="G3" s="9"/>
      <c r="H3" s="9"/>
      <c r="I3" s="9"/>
      <c r="J3" s="9"/>
      <c r="K3" s="9"/>
      <c r="L3" s="9"/>
      <c r="M3" s="9"/>
      <c r="N3" s="9"/>
    </row>
    <row r="4">
      <c r="A4" s="13" t="s">
        <v>11</v>
      </c>
      <c r="B4" s="13" t="s">
        <v>13</v>
      </c>
      <c r="C4" s="13" t="s">
        <v>15</v>
      </c>
      <c r="D4" s="13" t="s">
        <v>17</v>
      </c>
      <c r="E4" s="13" t="s">
        <v>18</v>
      </c>
      <c r="F4" s="13" t="s">
        <v>19</v>
      </c>
      <c r="G4" s="13" t="s">
        <v>20</v>
      </c>
      <c r="H4" s="13" t="s">
        <v>22</v>
      </c>
      <c r="I4" s="13" t="s">
        <v>23</v>
      </c>
      <c r="J4" s="13" t="s">
        <v>24</v>
      </c>
      <c r="K4" s="13" t="s">
        <v>25</v>
      </c>
      <c r="L4" s="13" t="s">
        <v>26</v>
      </c>
      <c r="M4" s="13" t="s">
        <v>27</v>
      </c>
      <c r="N4" s="13" t="s">
        <v>28</v>
      </c>
    </row>
    <row r="5">
      <c r="A5" s="9"/>
      <c r="B5" s="9"/>
      <c r="C5" s="9"/>
      <c r="D5" s="9"/>
      <c r="E5" s="9"/>
      <c r="F5" s="9"/>
      <c r="G5" s="9"/>
      <c r="H5" s="9"/>
      <c r="I5" s="9"/>
      <c r="J5" s="9"/>
      <c r="K5" s="9"/>
      <c r="L5" s="9"/>
      <c r="M5" s="9"/>
      <c r="N5" s="9"/>
    </row>
    <row r="6" ht="19.5" customHeight="1">
      <c r="A6" s="14" t="s">
        <v>142</v>
      </c>
      <c r="B6" s="3"/>
      <c r="C6" s="3"/>
      <c r="D6" s="3"/>
      <c r="E6" s="3"/>
      <c r="F6" s="3"/>
      <c r="G6" s="3"/>
      <c r="H6" s="3"/>
      <c r="I6" s="3"/>
      <c r="J6" s="3"/>
      <c r="K6" s="3"/>
      <c r="L6" s="3"/>
      <c r="M6" s="3"/>
      <c r="N6" s="5"/>
    </row>
    <row r="7">
      <c r="A7" s="9" t="s">
        <v>105</v>
      </c>
      <c r="B7" s="9" t="s">
        <v>96</v>
      </c>
      <c r="C7" s="32">
        <f>Assumptions!$B$34*Assumptions!$H$10</f>
        <v>115000</v>
      </c>
      <c r="D7" s="32">
        <f>C7*(1+Assumptions!$C$34)</f>
        <v>117300</v>
      </c>
      <c r="E7" s="32">
        <f>D7*(1+Assumptions!$C$34)</f>
        <v>119646</v>
      </c>
      <c r="F7" s="32">
        <f>E7*(1+Assumptions!$C$34)</f>
        <v>122038.92</v>
      </c>
      <c r="G7" s="32">
        <f>F7*(1+Assumptions!$C$34)</f>
        <v>124479.6984</v>
      </c>
      <c r="H7" s="32">
        <f>G7*(1+Assumptions!$C$34)</f>
        <v>126969.2924</v>
      </c>
      <c r="I7" s="32">
        <f>H7*(1+Assumptions!$C$34)</f>
        <v>129508.6782</v>
      </c>
      <c r="J7" s="32">
        <f>I7*(1+Assumptions!$C$34)</f>
        <v>132098.8518</v>
      </c>
      <c r="K7" s="32">
        <f>J7*(1+Assumptions!$C$34)</f>
        <v>134740.8288</v>
      </c>
      <c r="L7" s="32">
        <f>K7*(1+Assumptions!$C$34)</f>
        <v>137435.6454</v>
      </c>
      <c r="M7" s="32">
        <f>L7*(1+Assumptions!$C$34)</f>
        <v>140184.3583</v>
      </c>
      <c r="N7" s="32">
        <f>M7*(1+Assumptions!$C$34)</f>
        <v>142988.0455</v>
      </c>
    </row>
    <row r="8">
      <c r="A8" s="9" t="s">
        <v>108</v>
      </c>
      <c r="B8" s="9" t="s">
        <v>96</v>
      </c>
      <c r="C8" s="32">
        <f>Assumptions!$B$35*Assumptions!$H$10</f>
        <v>60000</v>
      </c>
      <c r="D8" s="32">
        <f>C8*(1+Assumptions!$C$35)</f>
        <v>61800</v>
      </c>
      <c r="E8" s="32">
        <f>D8*(1+Assumptions!$C$35)</f>
        <v>63654</v>
      </c>
      <c r="F8" s="32">
        <f>E8*(1+Assumptions!$C$35)</f>
        <v>65563.62</v>
      </c>
      <c r="G8" s="32">
        <f>F8*(1+Assumptions!$C$35)</f>
        <v>67530.5286</v>
      </c>
      <c r="H8" s="32">
        <f>G8*(1+Assumptions!$C$35)</f>
        <v>69556.44446</v>
      </c>
      <c r="I8" s="32">
        <f>H8*(1+Assumptions!$C$35)</f>
        <v>71643.13779</v>
      </c>
      <c r="J8" s="32">
        <f>I8*(1+Assumptions!$C$35)</f>
        <v>73792.43193</v>
      </c>
      <c r="K8" s="32">
        <f>J8*(1+Assumptions!$C$35)</f>
        <v>76006.20488</v>
      </c>
      <c r="L8" s="32">
        <f>K8*(1+Assumptions!$C$35)</f>
        <v>78286.39103</v>
      </c>
      <c r="M8" s="32">
        <f>L8*(1+Assumptions!$C$35)</f>
        <v>80634.98276</v>
      </c>
      <c r="N8" s="32">
        <f>M8*(1+Assumptions!$C$35)</f>
        <v>83054.03224</v>
      </c>
    </row>
    <row r="9">
      <c r="A9" s="9" t="s">
        <v>112</v>
      </c>
      <c r="B9" s="9" t="s">
        <v>96</v>
      </c>
      <c r="C9" s="32">
        <f>Assumptions!$B$36*Assumptions!$H$10</f>
        <v>18000</v>
      </c>
      <c r="D9" s="32">
        <f>C9*(1+Assumptions!$C$36)</f>
        <v>18270</v>
      </c>
      <c r="E9" s="32">
        <f>D9*(1+Assumptions!$C$36)</f>
        <v>18544.05</v>
      </c>
      <c r="F9" s="32">
        <f>E9*(1+Assumptions!$C$36)</f>
        <v>18822.21075</v>
      </c>
      <c r="G9" s="32">
        <f>F9*(1+Assumptions!$C$36)</f>
        <v>19104.54391</v>
      </c>
      <c r="H9" s="32">
        <f>G9*(1+Assumptions!$C$36)</f>
        <v>19391.11207</v>
      </c>
      <c r="I9" s="32">
        <f>H9*(1+Assumptions!$C$36)</f>
        <v>19681.97875</v>
      </c>
      <c r="J9" s="32">
        <f>I9*(1+Assumptions!$C$36)</f>
        <v>19977.20843</v>
      </c>
      <c r="K9" s="32">
        <f>J9*(1+Assumptions!$C$36)</f>
        <v>20276.86656</v>
      </c>
      <c r="L9" s="32">
        <f>K9*(1+Assumptions!$C$36)</f>
        <v>20581.01956</v>
      </c>
      <c r="M9" s="32">
        <f>L9*(1+Assumptions!$C$36)</f>
        <v>20889.73485</v>
      </c>
      <c r="N9" s="32">
        <f>M9*(1+Assumptions!$C$36)</f>
        <v>21203.08087</v>
      </c>
    </row>
    <row r="10">
      <c r="A10" s="9" t="s">
        <v>115</v>
      </c>
      <c r="B10" s="9" t="s">
        <v>96</v>
      </c>
      <c r="C10" s="32">
        <f>Assumptions!$B$37*Assumptions!$H$10</f>
        <v>12000</v>
      </c>
      <c r="D10" s="32">
        <f>C10*(1+Assumptions!$C$37)</f>
        <v>12120</v>
      </c>
      <c r="E10" s="32">
        <f>D10*(1+Assumptions!$C$37)</f>
        <v>12241.2</v>
      </c>
      <c r="F10" s="32">
        <f>E10*(1+Assumptions!$C$37)</f>
        <v>12363.612</v>
      </c>
      <c r="G10" s="32">
        <f>F10*(1+Assumptions!$C$37)</f>
        <v>12487.24812</v>
      </c>
      <c r="H10" s="32">
        <f>G10*(1+Assumptions!$C$37)</f>
        <v>12612.1206</v>
      </c>
      <c r="I10" s="32">
        <f>H10*(1+Assumptions!$C$37)</f>
        <v>12738.24181</v>
      </c>
      <c r="J10" s="32">
        <f>I10*(1+Assumptions!$C$37)</f>
        <v>12865.62423</v>
      </c>
      <c r="K10" s="32">
        <f>J10*(1+Assumptions!$C$37)</f>
        <v>12994.28047</v>
      </c>
      <c r="L10" s="32">
        <f>K10*(1+Assumptions!$C$37)</f>
        <v>13124.22327</v>
      </c>
      <c r="M10" s="32">
        <f>L10*(1+Assumptions!$C$37)</f>
        <v>13255.4655</v>
      </c>
      <c r="N10" s="32">
        <f>M10*(1+Assumptions!$C$37)</f>
        <v>13388.02016</v>
      </c>
    </row>
    <row r="11">
      <c r="A11" s="9" t="s">
        <v>117</v>
      </c>
      <c r="B11" s="9" t="s">
        <v>96</v>
      </c>
      <c r="C11" s="32">
        <f>Assumptions!$B$38*Assumptions!$H$10</f>
        <v>28000</v>
      </c>
      <c r="D11" s="32">
        <f>C11*(1+Assumptions!$C$38)</f>
        <v>28280</v>
      </c>
      <c r="E11" s="32">
        <f>D11*(1+Assumptions!$C$38)</f>
        <v>28562.8</v>
      </c>
      <c r="F11" s="32">
        <f>E11*(1+Assumptions!$C$38)</f>
        <v>28848.428</v>
      </c>
      <c r="G11" s="32">
        <f>F11*(1+Assumptions!$C$38)</f>
        <v>29136.91228</v>
      </c>
      <c r="H11" s="32">
        <f>G11*(1+Assumptions!$C$38)</f>
        <v>29428.2814</v>
      </c>
      <c r="I11" s="32">
        <f>H11*(1+Assumptions!$C$38)</f>
        <v>29722.56422</v>
      </c>
      <c r="J11" s="32">
        <f>I11*(1+Assumptions!$C$38)</f>
        <v>30019.78986</v>
      </c>
      <c r="K11" s="32">
        <f>J11*(1+Assumptions!$C$38)</f>
        <v>30319.98776</v>
      </c>
      <c r="L11" s="32">
        <f>K11*(1+Assumptions!$C$38)</f>
        <v>30623.18764</v>
      </c>
      <c r="M11" s="32">
        <f>L11*(1+Assumptions!$C$38)</f>
        <v>30929.41951</v>
      </c>
      <c r="N11" s="32">
        <f>M11*(1+Assumptions!$C$38)</f>
        <v>31238.71371</v>
      </c>
    </row>
    <row r="12">
      <c r="A12" s="33" t="s">
        <v>160</v>
      </c>
      <c r="B12" s="33" t="s">
        <v>96</v>
      </c>
      <c r="C12" s="41">
        <f t="shared" ref="C12:N12" si="1">SUM(C7:C11)</f>
        <v>233000</v>
      </c>
      <c r="D12" s="41">
        <f t="shared" si="1"/>
        <v>237770</v>
      </c>
      <c r="E12" s="41">
        <f t="shared" si="1"/>
        <v>242648.05</v>
      </c>
      <c r="F12" s="41">
        <f t="shared" si="1"/>
        <v>247636.7908</v>
      </c>
      <c r="G12" s="41">
        <f t="shared" si="1"/>
        <v>252738.9313</v>
      </c>
      <c r="H12" s="41">
        <f t="shared" si="1"/>
        <v>257957.2509</v>
      </c>
      <c r="I12" s="41">
        <f t="shared" si="1"/>
        <v>263294.6008</v>
      </c>
      <c r="J12" s="41">
        <f t="shared" si="1"/>
        <v>268753.9062</v>
      </c>
      <c r="K12" s="41">
        <f t="shared" si="1"/>
        <v>274338.1685</v>
      </c>
      <c r="L12" s="41">
        <f t="shared" si="1"/>
        <v>280050.4669</v>
      </c>
      <c r="M12" s="41">
        <f t="shared" si="1"/>
        <v>285893.9609</v>
      </c>
      <c r="N12" s="41">
        <f t="shared" si="1"/>
        <v>291871.8924</v>
      </c>
    </row>
    <row r="13">
      <c r="A13" s="9" t="s">
        <v>119</v>
      </c>
      <c r="B13" s="9" t="s">
        <v>96</v>
      </c>
      <c r="C13" s="32">
        <f>Assumptions!$B$39</f>
        <v>10000</v>
      </c>
      <c r="D13" s="32">
        <f>C13*(1+Assumptions!$C$39)</f>
        <v>10000</v>
      </c>
      <c r="E13" s="32">
        <f>D13*(1+Assumptions!$C$39)</f>
        <v>10000</v>
      </c>
      <c r="F13" s="32">
        <f>E13*(1+Assumptions!$C$39)</f>
        <v>10000</v>
      </c>
      <c r="G13" s="32">
        <f>F13*(1+Assumptions!$C$39)</f>
        <v>10000</v>
      </c>
      <c r="H13" s="32">
        <f>G13*(1+Assumptions!$C$39)</f>
        <v>10000</v>
      </c>
      <c r="I13" s="32">
        <f>H13*(1+Assumptions!$C$39)</f>
        <v>10000</v>
      </c>
      <c r="J13" s="32">
        <f>I13*(1+Assumptions!$C$39)</f>
        <v>10000</v>
      </c>
      <c r="K13" s="32">
        <f>J13*(1+Assumptions!$C$39)</f>
        <v>10000</v>
      </c>
      <c r="L13" s="32">
        <f>K13*(1+Assumptions!$C$39)</f>
        <v>10000</v>
      </c>
      <c r="M13" s="32">
        <f>L13*(1+Assumptions!$C$39)</f>
        <v>10000</v>
      </c>
      <c r="N13" s="32">
        <f>M13*(1+Assumptions!$C$39)</f>
        <v>10000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N1"/>
    <mergeCell ref="A2:N2"/>
    <mergeCell ref="A6:N6"/>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31.0"/>
    <col customWidth="1" min="2" max="2" width="16.0"/>
    <col customWidth="1" min="3" max="14" width="13.0"/>
    <col customWidth="1" min="15" max="26" width="8.63"/>
  </cols>
  <sheetData>
    <row r="1" ht="27.75" customHeight="1">
      <c r="A1" s="35" t="s">
        <v>147</v>
      </c>
    </row>
    <row r="2" ht="21.75" customHeight="1">
      <c r="A2" s="4" t="s">
        <v>148</v>
      </c>
    </row>
    <row r="4">
      <c r="A4" s="36" t="s">
        <v>11</v>
      </c>
      <c r="B4" s="36" t="s">
        <v>13</v>
      </c>
      <c r="C4" s="36" t="s">
        <v>15</v>
      </c>
      <c r="D4" s="36" t="s">
        <v>17</v>
      </c>
      <c r="E4" s="36" t="s">
        <v>18</v>
      </c>
      <c r="F4" s="36" t="s">
        <v>19</v>
      </c>
      <c r="G4" s="36" t="s">
        <v>20</v>
      </c>
      <c r="H4" s="36" t="s">
        <v>22</v>
      </c>
      <c r="I4" s="36" t="s">
        <v>23</v>
      </c>
      <c r="J4" s="36" t="s">
        <v>24</v>
      </c>
      <c r="K4" s="36" t="s">
        <v>25</v>
      </c>
      <c r="L4" s="36" t="s">
        <v>26</v>
      </c>
      <c r="M4" s="36" t="s">
        <v>27</v>
      </c>
      <c r="N4" s="36" t="s">
        <v>28</v>
      </c>
    </row>
    <row r="6" ht="19.5" customHeight="1">
      <c r="A6" s="6" t="s">
        <v>149</v>
      </c>
    </row>
    <row r="7">
      <c r="A7" s="11" t="s">
        <v>150</v>
      </c>
      <c r="B7" s="11" t="s">
        <v>96</v>
      </c>
      <c r="C7" s="37">
        <f>Revenue!C42</f>
        <v>256691.805</v>
      </c>
      <c r="D7" s="37">
        <f>Revenue!D42</f>
        <v>266130.691</v>
      </c>
      <c r="E7" s="37">
        <f>Revenue!E42</f>
        <v>275924.4746</v>
      </c>
      <c r="F7" s="37">
        <f>Revenue!F42</f>
        <v>286086.7271</v>
      </c>
      <c r="G7" s="37">
        <f>Revenue!G42</f>
        <v>296631.5453</v>
      </c>
      <c r="H7" s="37">
        <f>Revenue!H42</f>
        <v>307573.572</v>
      </c>
      <c r="I7" s="37">
        <f>Revenue!I42</f>
        <v>318928.0174</v>
      </c>
      <c r="J7" s="37">
        <f>Revenue!J42</f>
        <v>330710.6813</v>
      </c>
      <c r="K7" s="37">
        <f>Revenue!K42</f>
        <v>342937.976</v>
      </c>
      <c r="L7" s="37">
        <f>Revenue!L42</f>
        <v>355626.9504</v>
      </c>
      <c r="M7" s="37">
        <f>Revenue!M42</f>
        <v>368795.315</v>
      </c>
      <c r="N7" s="37">
        <f>Revenue!N42</f>
        <v>382461.4673</v>
      </c>
    </row>
    <row r="8">
      <c r="A8" s="11" t="s">
        <v>151</v>
      </c>
      <c r="B8" s="11" t="s">
        <v>96</v>
      </c>
      <c r="C8" s="37">
        <f>-Inventory!C34</f>
        <v>-77437.5</v>
      </c>
      <c r="D8" s="37">
        <f>-Inventory!D34</f>
        <v>-80213.4375</v>
      </c>
      <c r="E8" s="37">
        <f>-Inventory!E34</f>
        <v>-83091.45469</v>
      </c>
      <c r="F8" s="37">
        <f>-Inventory!F34</f>
        <v>-86075.38324</v>
      </c>
      <c r="G8" s="37">
        <f>-Inventory!G34</f>
        <v>-89169.201</v>
      </c>
      <c r="H8" s="37">
        <f>-Inventory!H34</f>
        <v>-92377.03758</v>
      </c>
      <c r="I8" s="37">
        <f>-Inventory!I34</f>
        <v>-95703.18028</v>
      </c>
      <c r="J8" s="37">
        <f>-Inventory!J34</f>
        <v>-99152.08013</v>
      </c>
      <c r="K8" s="37">
        <f>-Inventory!K34</f>
        <v>-102728.3583</v>
      </c>
      <c r="L8" s="37">
        <f>-Inventory!L34</f>
        <v>-106436.8124</v>
      </c>
      <c r="M8" s="37">
        <f>-Inventory!M34</f>
        <v>-110282.4239</v>
      </c>
      <c r="N8" s="37">
        <f>-Inventory!N34</f>
        <v>-114270.3646</v>
      </c>
    </row>
    <row r="9">
      <c r="A9" s="38" t="s">
        <v>152</v>
      </c>
      <c r="B9" s="38" t="s">
        <v>96</v>
      </c>
      <c r="C9" s="39">
        <f t="shared" ref="C9:N9" si="1">SUM(C7:C8)</f>
        <v>179254.305</v>
      </c>
      <c r="D9" s="39">
        <f t="shared" si="1"/>
        <v>185917.2535</v>
      </c>
      <c r="E9" s="39">
        <f t="shared" si="1"/>
        <v>192833.0199</v>
      </c>
      <c r="F9" s="39">
        <f t="shared" si="1"/>
        <v>200011.3439</v>
      </c>
      <c r="G9" s="39">
        <f t="shared" si="1"/>
        <v>207462.3443</v>
      </c>
      <c r="H9" s="39">
        <f t="shared" si="1"/>
        <v>215196.5344</v>
      </c>
      <c r="I9" s="39">
        <f t="shared" si="1"/>
        <v>223224.8371</v>
      </c>
      <c r="J9" s="39">
        <f t="shared" si="1"/>
        <v>231558.6012</v>
      </c>
      <c r="K9" s="39">
        <f t="shared" si="1"/>
        <v>240209.6178</v>
      </c>
      <c r="L9" s="39">
        <f t="shared" si="1"/>
        <v>249190.138</v>
      </c>
      <c r="M9" s="39">
        <f t="shared" si="1"/>
        <v>258512.891</v>
      </c>
      <c r="N9" s="39">
        <f t="shared" si="1"/>
        <v>268191.1027</v>
      </c>
    </row>
    <row r="10">
      <c r="A10" s="11" t="s">
        <v>153</v>
      </c>
      <c r="B10" s="11" t="s">
        <v>154</v>
      </c>
      <c r="C10" s="40">
        <f t="shared" ref="C10:N10" si="2">C9/C7</f>
        <v>0.6983250011</v>
      </c>
      <c r="D10" s="40">
        <f t="shared" si="2"/>
        <v>0.6985938105</v>
      </c>
      <c r="E10" s="40">
        <f t="shared" si="2"/>
        <v>0.6988616004</v>
      </c>
      <c r="F10" s="40">
        <f t="shared" si="2"/>
        <v>0.6991283584</v>
      </c>
      <c r="G10" s="40">
        <f t="shared" si="2"/>
        <v>0.6993940718</v>
      </c>
      <c r="H10" s="40">
        <f t="shared" si="2"/>
        <v>0.6996587289</v>
      </c>
      <c r="I10" s="40">
        <f t="shared" si="2"/>
        <v>0.6999223177</v>
      </c>
      <c r="J10" s="40">
        <f t="shared" si="2"/>
        <v>0.700184827</v>
      </c>
      <c r="K10" s="40">
        <f t="shared" si="2"/>
        <v>0.7004462456</v>
      </c>
      <c r="L10" s="40">
        <f t="shared" si="2"/>
        <v>0.7007065626</v>
      </c>
      <c r="M10" s="40">
        <f t="shared" si="2"/>
        <v>0.7009657676</v>
      </c>
      <c r="N10" s="40">
        <f t="shared" si="2"/>
        <v>0.7012238503</v>
      </c>
    </row>
    <row r="11">
      <c r="A11" s="11" t="s">
        <v>142</v>
      </c>
      <c r="B11" s="11" t="s">
        <v>96</v>
      </c>
      <c r="C11" s="37">
        <f>-OpEx!C12</f>
        <v>-233000</v>
      </c>
      <c r="D11" s="37">
        <f>-OpEx!D12</f>
        <v>-237770</v>
      </c>
      <c r="E11" s="37">
        <f>-OpEx!E12</f>
        <v>-242648.05</v>
      </c>
      <c r="F11" s="37">
        <f>-OpEx!F12</f>
        <v>-247636.7908</v>
      </c>
      <c r="G11" s="37">
        <f>-OpEx!G12</f>
        <v>-252738.9313</v>
      </c>
      <c r="H11" s="37">
        <f>-OpEx!H12</f>
        <v>-257957.2509</v>
      </c>
      <c r="I11" s="37">
        <f>-OpEx!I12</f>
        <v>-263294.6008</v>
      </c>
      <c r="J11" s="37">
        <f>-OpEx!J12</f>
        <v>-268753.9062</v>
      </c>
      <c r="K11" s="37">
        <f>-OpEx!K12</f>
        <v>-274338.1685</v>
      </c>
      <c r="L11" s="37">
        <f>-OpEx!L12</f>
        <v>-280050.4669</v>
      </c>
      <c r="M11" s="37">
        <f>-OpEx!M12</f>
        <v>-285893.9609</v>
      </c>
      <c r="N11" s="37">
        <f>-OpEx!N12</f>
        <v>-291871.8924</v>
      </c>
    </row>
    <row r="12">
      <c r="A12" s="38" t="s">
        <v>155</v>
      </c>
      <c r="B12" s="38" t="s">
        <v>96</v>
      </c>
      <c r="C12" s="39">
        <f t="shared" ref="C12:N12" si="3">SUM(C9,C11)</f>
        <v>-53745.695</v>
      </c>
      <c r="D12" s="39">
        <f t="shared" si="3"/>
        <v>-51852.74648</v>
      </c>
      <c r="E12" s="39">
        <f t="shared" si="3"/>
        <v>-49815.03006</v>
      </c>
      <c r="F12" s="39">
        <f t="shared" si="3"/>
        <v>-47625.44687</v>
      </c>
      <c r="G12" s="39">
        <f t="shared" si="3"/>
        <v>-45276.58701</v>
      </c>
      <c r="H12" s="39">
        <f t="shared" si="3"/>
        <v>-42760.71648</v>
      </c>
      <c r="I12" s="39">
        <f t="shared" si="3"/>
        <v>-40069.76363</v>
      </c>
      <c r="J12" s="39">
        <f t="shared" si="3"/>
        <v>-37195.30504</v>
      </c>
      <c r="K12" s="39">
        <f t="shared" si="3"/>
        <v>-34128.55073</v>
      </c>
      <c r="L12" s="39">
        <f t="shared" si="3"/>
        <v>-30860.32889</v>
      </c>
      <c r="M12" s="39">
        <f t="shared" si="3"/>
        <v>-27381.06991</v>
      </c>
      <c r="N12" s="39">
        <f t="shared" si="3"/>
        <v>-23680.78976</v>
      </c>
    </row>
    <row r="13">
      <c r="A13" s="11" t="s">
        <v>156</v>
      </c>
      <c r="B13" s="11" t="s">
        <v>96</v>
      </c>
      <c r="C13" s="37">
        <f t="shared" ref="C13:N13" si="4">-C29/60</f>
        <v>881.0769672</v>
      </c>
      <c r="D13" s="37">
        <f t="shared" si="4"/>
        <v>1716.678107</v>
      </c>
      <c r="E13" s="37">
        <f t="shared" si="4"/>
        <v>2505.17568</v>
      </c>
      <c r="F13" s="37">
        <f t="shared" si="4"/>
        <v>3244.852258</v>
      </c>
      <c r="G13" s="37">
        <f t="shared" si="4"/>
        <v>3933.897093</v>
      </c>
      <c r="H13" s="37">
        <f t="shared" si="4"/>
        <v>4570.402334</v>
      </c>
      <c r="I13" s="37">
        <f t="shared" si="4"/>
        <v>5152.359089</v>
      </c>
      <c r="J13" s="37">
        <f t="shared" si="4"/>
        <v>5677.653307</v>
      </c>
      <c r="K13" s="37">
        <f t="shared" si="4"/>
        <v>6144.061501</v>
      </c>
      <c r="L13" s="37">
        <f t="shared" si="4"/>
        <v>6549.246277</v>
      </c>
      <c r="M13" s="37">
        <f t="shared" si="4"/>
        <v>6890.751689</v>
      </c>
      <c r="N13" s="37">
        <f t="shared" si="4"/>
        <v>7165.998379</v>
      </c>
    </row>
    <row r="14">
      <c r="A14" s="11" t="s">
        <v>157</v>
      </c>
      <c r="B14" s="11" t="s">
        <v>96</v>
      </c>
      <c r="C14" s="37">
        <f t="shared" ref="C14:N14" si="5">SUM(C12:C13)</f>
        <v>-52864.61803</v>
      </c>
      <c r="D14" s="37">
        <f t="shared" si="5"/>
        <v>-50136.06837</v>
      </c>
      <c r="E14" s="37">
        <f t="shared" si="5"/>
        <v>-47309.85438</v>
      </c>
      <c r="F14" s="37">
        <f t="shared" si="5"/>
        <v>-44380.59462</v>
      </c>
      <c r="G14" s="37">
        <f t="shared" si="5"/>
        <v>-41342.68991</v>
      </c>
      <c r="H14" s="37">
        <f t="shared" si="5"/>
        <v>-38190.31414</v>
      </c>
      <c r="I14" s="37">
        <f t="shared" si="5"/>
        <v>-34917.40454</v>
      </c>
      <c r="J14" s="37">
        <f t="shared" si="5"/>
        <v>-31517.65173</v>
      </c>
      <c r="K14" s="37">
        <f t="shared" si="5"/>
        <v>-27984.48922</v>
      </c>
      <c r="L14" s="37">
        <f t="shared" si="5"/>
        <v>-24311.08261</v>
      </c>
      <c r="M14" s="37">
        <f t="shared" si="5"/>
        <v>-20490.31822</v>
      </c>
      <c r="N14" s="37">
        <f t="shared" si="5"/>
        <v>-16514.79138</v>
      </c>
    </row>
    <row r="15">
      <c r="A15" s="11" t="s">
        <v>158</v>
      </c>
      <c r="B15" s="11" t="s">
        <v>96</v>
      </c>
      <c r="C15" s="37">
        <f t="shared" ref="C15:N15" si="6">-MAX(0,C14*0.21)</f>
        <v>0</v>
      </c>
      <c r="D15" s="37">
        <f t="shared" si="6"/>
        <v>0</v>
      </c>
      <c r="E15" s="37">
        <f t="shared" si="6"/>
        <v>0</v>
      </c>
      <c r="F15" s="37">
        <f t="shared" si="6"/>
        <v>0</v>
      </c>
      <c r="G15" s="37">
        <f t="shared" si="6"/>
        <v>0</v>
      </c>
      <c r="H15" s="37">
        <f t="shared" si="6"/>
        <v>0</v>
      </c>
      <c r="I15" s="37">
        <f t="shared" si="6"/>
        <v>0</v>
      </c>
      <c r="J15" s="37">
        <f t="shared" si="6"/>
        <v>0</v>
      </c>
      <c r="K15" s="37">
        <f t="shared" si="6"/>
        <v>0</v>
      </c>
      <c r="L15" s="37">
        <f t="shared" si="6"/>
        <v>0</v>
      </c>
      <c r="M15" s="37">
        <f t="shared" si="6"/>
        <v>0</v>
      </c>
      <c r="N15" s="37">
        <f t="shared" si="6"/>
        <v>0</v>
      </c>
    </row>
    <row r="16">
      <c r="A16" s="38" t="s">
        <v>159</v>
      </c>
      <c r="B16" s="38" t="s">
        <v>96</v>
      </c>
      <c r="C16" s="39">
        <f t="shared" ref="C16:N16" si="7">SUM(C14:C15)</f>
        <v>-52864.61803</v>
      </c>
      <c r="D16" s="39">
        <f t="shared" si="7"/>
        <v>-50136.06837</v>
      </c>
      <c r="E16" s="39">
        <f t="shared" si="7"/>
        <v>-47309.85438</v>
      </c>
      <c r="F16" s="39">
        <f t="shared" si="7"/>
        <v>-44380.59462</v>
      </c>
      <c r="G16" s="39">
        <f t="shared" si="7"/>
        <v>-41342.68991</v>
      </c>
      <c r="H16" s="39">
        <f t="shared" si="7"/>
        <v>-38190.31414</v>
      </c>
      <c r="I16" s="39">
        <f t="shared" si="7"/>
        <v>-34917.40454</v>
      </c>
      <c r="J16" s="39">
        <f t="shared" si="7"/>
        <v>-31517.65173</v>
      </c>
      <c r="K16" s="39">
        <f t="shared" si="7"/>
        <v>-27984.48922</v>
      </c>
      <c r="L16" s="39">
        <f t="shared" si="7"/>
        <v>-24311.08261</v>
      </c>
      <c r="M16" s="39">
        <f t="shared" si="7"/>
        <v>-20490.31822</v>
      </c>
      <c r="N16" s="39">
        <f t="shared" si="7"/>
        <v>-16514.79138</v>
      </c>
    </row>
    <row r="18" ht="19.5" customHeight="1">
      <c r="A18" s="6" t="s">
        <v>161</v>
      </c>
    </row>
    <row r="19">
      <c r="A19" s="11" t="s">
        <v>162</v>
      </c>
      <c r="B19" s="11" t="s">
        <v>96</v>
      </c>
      <c r="C19" s="37">
        <f t="shared" ref="C19:N19" si="8">C44</f>
        <v>2084151.333</v>
      </c>
      <c r="D19" s="37">
        <f t="shared" si="8"/>
        <v>1897420.665</v>
      </c>
      <c r="E19" s="37">
        <f t="shared" si="8"/>
        <v>1831210.07</v>
      </c>
      <c r="F19" s="37">
        <f t="shared" si="8"/>
        <v>1766963.674</v>
      </c>
      <c r="G19" s="37">
        <f t="shared" si="8"/>
        <v>1704832.601</v>
      </c>
      <c r="H19" s="37">
        <f t="shared" si="8"/>
        <v>1644975.405</v>
      </c>
      <c r="I19" s="37">
        <f t="shared" si="8"/>
        <v>1587558.399</v>
      </c>
      <c r="J19" s="37">
        <f t="shared" si="8"/>
        <v>1532755.997</v>
      </c>
      <c r="K19" s="37">
        <f t="shared" si="8"/>
        <v>1480751.063</v>
      </c>
      <c r="L19" s="37">
        <f t="shared" si="8"/>
        <v>1431735.285</v>
      </c>
      <c r="M19" s="37">
        <f t="shared" si="8"/>
        <v>1385909.557</v>
      </c>
      <c r="N19" s="37">
        <f t="shared" si="8"/>
        <v>1343484.382</v>
      </c>
    </row>
    <row r="20">
      <c r="A20" s="11" t="s">
        <v>125</v>
      </c>
      <c r="B20" s="11" t="s">
        <v>96</v>
      </c>
      <c r="C20" s="37">
        <f>(SUM(Revenue!C28:C30)*(1-Assumptions!$D$14)*Assumptions!$E$14+SUM(Revenue!C31:C33)*(1-Assumptions!$D$15)*Assumptions!$E$15+SUM(Revenue!C34:C36)*(1-Assumptions!$D$16)*Assumptions!$E$16)/30</f>
        <v>71340.47167</v>
      </c>
      <c r="D20" s="37">
        <f>(SUM(Revenue!D28:D30)*(1-Assumptions!$D$14)*Assumptions!$E$14+SUM(Revenue!D31:D33)*(1-Assumptions!$D$15)*Assumptions!$E$15+SUM(Revenue!D34:D36)*(1-Assumptions!$D$16)*Assumptions!$E$16)/30</f>
        <v>73600.58136</v>
      </c>
      <c r="E20" s="37">
        <f>(SUM(Revenue!E28:E30)*(1-Assumptions!$D$14)*Assumptions!$E$14+SUM(Revenue!E31:E33)*(1-Assumptions!$D$15)*Assumptions!$E$15+SUM(Revenue!E34:E36)*(1-Assumptions!$D$16)*Assumptions!$E$16)/30</f>
        <v>75934.3195</v>
      </c>
      <c r="F20" s="37">
        <f>(SUM(Revenue!F28:F30)*(1-Assumptions!$D$14)*Assumptions!$E$14+SUM(Revenue!F31:F33)*(1-Assumptions!$D$15)*Assumptions!$E$15+SUM(Revenue!F34:F36)*(1-Assumptions!$D$16)*Assumptions!$E$16)/30</f>
        <v>78344.15368</v>
      </c>
      <c r="G20" s="37">
        <f>(SUM(Revenue!G28:G30)*(1-Assumptions!$D$14)*Assumptions!$E$14+SUM(Revenue!G31:G33)*(1-Assumptions!$D$15)*Assumptions!$E$15+SUM(Revenue!G34:G36)*(1-Assumptions!$D$16)*Assumptions!$E$16)/30</f>
        <v>80832.63652</v>
      </c>
      <c r="H20" s="37">
        <f>(SUM(Revenue!H28:H30)*(1-Assumptions!$D$14)*Assumptions!$E$14+SUM(Revenue!H31:H33)*(1-Assumptions!$D$15)*Assumptions!$E$15+SUM(Revenue!H34:H36)*(1-Assumptions!$D$16)*Assumptions!$E$16)/30</f>
        <v>83402.40866</v>
      </c>
      <c r="I20" s="37">
        <f>(SUM(Revenue!I28:I30)*(1-Assumptions!$D$14)*Assumptions!$E$14+SUM(Revenue!I31:I33)*(1-Assumptions!$D$15)*Assumptions!$E$15+SUM(Revenue!I34:I36)*(1-Assumptions!$D$16)*Assumptions!$E$16)/30</f>
        <v>86056.20188</v>
      </c>
      <c r="J20" s="37">
        <f>(SUM(Revenue!J28:J30)*(1-Assumptions!$D$14)*Assumptions!$E$14+SUM(Revenue!J31:J33)*(1-Assumptions!$D$15)*Assumptions!$E$15+SUM(Revenue!J34:J36)*(1-Assumptions!$D$16)*Assumptions!$E$16)/30</f>
        <v>88796.84233</v>
      </c>
      <c r="K20" s="37">
        <f>(SUM(Revenue!K28:K30)*(1-Assumptions!$D$14)*Assumptions!$E$14+SUM(Revenue!K31:K33)*(1-Assumptions!$D$15)*Assumptions!$E$15+SUM(Revenue!K34:K36)*(1-Assumptions!$D$16)*Assumptions!$E$16)/30</f>
        <v>91627.25389</v>
      </c>
      <c r="L20" s="37">
        <f>(SUM(Revenue!L28:L30)*(1-Assumptions!$D$14)*Assumptions!$E$14+SUM(Revenue!L31:L33)*(1-Assumptions!$D$15)*Assumptions!$E$15+SUM(Revenue!L34:L36)*(1-Assumptions!$D$16)*Assumptions!$E$16)/30</f>
        <v>94550.46161</v>
      </c>
      <c r="M20" s="37">
        <f>(SUM(Revenue!M28:M30)*(1-Assumptions!$D$14)*Assumptions!$E$14+SUM(Revenue!M31:M33)*(1-Assumptions!$D$15)*Assumptions!$E$15+SUM(Revenue!M34:M36)*(1-Assumptions!$D$16)*Assumptions!$E$16)/30</f>
        <v>97569.5953</v>
      </c>
      <c r="N20" s="37">
        <f>(SUM(Revenue!N28:N30)*(1-Assumptions!$D$14)*Assumptions!$E$14+SUM(Revenue!N31:N33)*(1-Assumptions!$D$15)*Assumptions!$E$15+SUM(Revenue!N34:N36)*(1-Assumptions!$D$16)*Assumptions!$E$16)/30</f>
        <v>100687.8933</v>
      </c>
    </row>
    <row r="21" ht="15.75" customHeight="1">
      <c r="A21" s="11" t="s">
        <v>87</v>
      </c>
      <c r="B21" s="11" t="s">
        <v>96</v>
      </c>
      <c r="C21" s="37">
        <f>Inventory!C36</f>
        <v>193593.75</v>
      </c>
      <c r="D21" s="37">
        <f>Inventory!D36</f>
        <v>200533.5938</v>
      </c>
      <c r="E21" s="37">
        <f>Inventory!E36</f>
        <v>207728.6367</v>
      </c>
      <c r="F21" s="37">
        <f>Inventory!F36</f>
        <v>215188.4581</v>
      </c>
      <c r="G21" s="37">
        <f>Inventory!G36</f>
        <v>222923.0025</v>
      </c>
      <c r="H21" s="37">
        <f>Inventory!H36</f>
        <v>230942.5939</v>
      </c>
      <c r="I21" s="37">
        <f>Inventory!I36</f>
        <v>239257.9507</v>
      </c>
      <c r="J21" s="37">
        <f>Inventory!J36</f>
        <v>247880.2003</v>
      </c>
      <c r="K21" s="37">
        <f>Inventory!K36</f>
        <v>256820.8956</v>
      </c>
      <c r="L21" s="37">
        <f>Inventory!L36</f>
        <v>266092.0311</v>
      </c>
      <c r="M21" s="37">
        <f>Inventory!M36</f>
        <v>275706.0598</v>
      </c>
      <c r="N21" s="37">
        <f>Inventory!N36</f>
        <v>285675.9115</v>
      </c>
    </row>
    <row r="22" ht="15.75" customHeight="1">
      <c r="A22" s="11" t="s">
        <v>128</v>
      </c>
      <c r="B22" s="11" t="s">
        <v>96</v>
      </c>
      <c r="C22" s="37">
        <f>Assumptions!$B$45</f>
        <v>25000</v>
      </c>
      <c r="D22" s="37">
        <f t="shared" ref="D22:N22" si="9">C22</f>
        <v>25000</v>
      </c>
      <c r="E22" s="37">
        <f t="shared" si="9"/>
        <v>25000</v>
      </c>
      <c r="F22" s="37">
        <f t="shared" si="9"/>
        <v>25000</v>
      </c>
      <c r="G22" s="37">
        <f t="shared" si="9"/>
        <v>25000</v>
      </c>
      <c r="H22" s="37">
        <f t="shared" si="9"/>
        <v>25000</v>
      </c>
      <c r="I22" s="37">
        <f t="shared" si="9"/>
        <v>25000</v>
      </c>
      <c r="J22" s="37">
        <f t="shared" si="9"/>
        <v>25000</v>
      </c>
      <c r="K22" s="37">
        <f t="shared" si="9"/>
        <v>25000</v>
      </c>
      <c r="L22" s="37">
        <f t="shared" si="9"/>
        <v>25000</v>
      </c>
      <c r="M22" s="37">
        <f t="shared" si="9"/>
        <v>25000</v>
      </c>
      <c r="N22" s="37">
        <f t="shared" si="9"/>
        <v>25000</v>
      </c>
    </row>
    <row r="23" ht="15.75" customHeight="1">
      <c r="A23" s="11" t="s">
        <v>130</v>
      </c>
      <c r="B23" s="11" t="s">
        <v>96</v>
      </c>
      <c r="C23" s="37">
        <f>Assumptions!$B$46+OpEx!C13+C13</f>
        <v>85881.07697</v>
      </c>
      <c r="D23" s="37">
        <f>C23+OpEx!D13+D13</f>
        <v>97597.75507</v>
      </c>
      <c r="E23" s="37">
        <f>D23+OpEx!E13+E13</f>
        <v>110102.9308</v>
      </c>
      <c r="F23" s="37">
        <f>E23+OpEx!F13+F13</f>
        <v>123347.783</v>
      </c>
      <c r="G23" s="37">
        <f>F23+OpEx!G13+G13</f>
        <v>137281.6801</v>
      </c>
      <c r="H23" s="37">
        <f>G23+OpEx!H13+H13</f>
        <v>151852.0824</v>
      </c>
      <c r="I23" s="37">
        <f>H23+OpEx!I13+I13</f>
        <v>167004.4415</v>
      </c>
      <c r="J23" s="37">
        <f>I23+OpEx!J13+J13</f>
        <v>182682.0948</v>
      </c>
      <c r="K23" s="37">
        <f>J23+OpEx!K13+K13</f>
        <v>198826.1563</v>
      </c>
      <c r="L23" s="37">
        <f>K23+OpEx!L13+L13</f>
        <v>215375.4026</v>
      </c>
      <c r="M23" s="37">
        <f>L23+OpEx!M13+M13</f>
        <v>232266.1543</v>
      </c>
      <c r="N23" s="37">
        <f>M23+OpEx!N13+N13</f>
        <v>249432.1527</v>
      </c>
    </row>
    <row r="24" ht="15.75" customHeight="1">
      <c r="A24" s="38" t="s">
        <v>166</v>
      </c>
      <c r="B24" s="38" t="s">
        <v>96</v>
      </c>
      <c r="C24" s="39">
        <f t="shared" ref="C24:N24" si="10">SUM(C19:C23)</f>
        <v>2459966.632</v>
      </c>
      <c r="D24" s="39">
        <f t="shared" si="10"/>
        <v>2294152.595</v>
      </c>
      <c r="E24" s="39">
        <f t="shared" si="10"/>
        <v>2249975.957</v>
      </c>
      <c r="F24" s="39">
        <f t="shared" si="10"/>
        <v>2208844.069</v>
      </c>
      <c r="G24" s="39">
        <f t="shared" si="10"/>
        <v>2170869.92</v>
      </c>
      <c r="H24" s="39">
        <f t="shared" si="10"/>
        <v>2136172.49</v>
      </c>
      <c r="I24" s="39">
        <f t="shared" si="10"/>
        <v>2104876.993</v>
      </c>
      <c r="J24" s="39">
        <f t="shared" si="10"/>
        <v>2077115.134</v>
      </c>
      <c r="K24" s="39">
        <f t="shared" si="10"/>
        <v>2053025.369</v>
      </c>
      <c r="L24" s="39">
        <f t="shared" si="10"/>
        <v>2032753.18</v>
      </c>
      <c r="M24" s="39">
        <f t="shared" si="10"/>
        <v>2016451.367</v>
      </c>
      <c r="N24" s="39">
        <f t="shared" si="10"/>
        <v>2004280.339</v>
      </c>
    </row>
    <row r="25" ht="15.75" customHeight="1">
      <c r="A25" s="11" t="s">
        <v>94</v>
      </c>
      <c r="B25" s="11" t="s">
        <v>96</v>
      </c>
      <c r="C25" s="37">
        <f>Inventory!C35*Assumptions!$B$28/30</f>
        <v>202831.25</v>
      </c>
      <c r="D25" s="37">
        <f>Inventory!D35*Assumptions!$B$28/30</f>
        <v>87153.28125</v>
      </c>
      <c r="E25" s="37">
        <f>Inventory!E35*Assumptions!$B$28/30</f>
        <v>90286.49766</v>
      </c>
      <c r="F25" s="37">
        <f>Inventory!F35*Assumptions!$B$28/30</f>
        <v>93535.20463</v>
      </c>
      <c r="G25" s="37">
        <f>Inventory!G35*Assumptions!$B$28/30</f>
        <v>96903.74538</v>
      </c>
      <c r="H25" s="37">
        <f>Inventory!H35*Assumptions!$B$28/30</f>
        <v>100396.629</v>
      </c>
      <c r="I25" s="37">
        <f>Inventory!I35*Assumptions!$B$28/30</f>
        <v>104018.537</v>
      </c>
      <c r="J25" s="37">
        <f>Inventory!J35*Assumptions!$B$28/30</f>
        <v>107774.3298</v>
      </c>
      <c r="K25" s="37">
        <f>Inventory!K35*Assumptions!$B$28/30</f>
        <v>111669.0536</v>
      </c>
      <c r="L25" s="37">
        <f>Inventory!L35*Assumptions!$B$28/30</f>
        <v>115707.9479</v>
      </c>
      <c r="M25" s="37">
        <f>Inventory!M35*Assumptions!$B$28/30</f>
        <v>119896.4527</v>
      </c>
      <c r="N25" s="37">
        <f>Inventory!N35*Assumptions!$B$28/30</f>
        <v>124240.2163</v>
      </c>
    </row>
    <row r="26" ht="15.75" customHeight="1">
      <c r="A26" s="11" t="s">
        <v>133</v>
      </c>
      <c r="B26" s="11" t="s">
        <v>96</v>
      </c>
      <c r="C26" s="37">
        <f>Assumptions!$B$48</f>
        <v>30000</v>
      </c>
      <c r="D26" s="37">
        <f t="shared" ref="D26:N26" si="11">C26</f>
        <v>30000</v>
      </c>
      <c r="E26" s="37">
        <f t="shared" si="11"/>
        <v>30000</v>
      </c>
      <c r="F26" s="37">
        <f t="shared" si="11"/>
        <v>30000</v>
      </c>
      <c r="G26" s="37">
        <f t="shared" si="11"/>
        <v>30000</v>
      </c>
      <c r="H26" s="37">
        <f t="shared" si="11"/>
        <v>30000</v>
      </c>
      <c r="I26" s="37">
        <f t="shared" si="11"/>
        <v>30000</v>
      </c>
      <c r="J26" s="37">
        <f t="shared" si="11"/>
        <v>30000</v>
      </c>
      <c r="K26" s="37">
        <f t="shared" si="11"/>
        <v>30000</v>
      </c>
      <c r="L26" s="37">
        <f t="shared" si="11"/>
        <v>30000</v>
      </c>
      <c r="M26" s="37">
        <f t="shared" si="11"/>
        <v>30000</v>
      </c>
      <c r="N26" s="37">
        <f t="shared" si="11"/>
        <v>30000</v>
      </c>
    </row>
    <row r="27" ht="15.75" customHeight="1">
      <c r="A27" s="38" t="s">
        <v>169</v>
      </c>
      <c r="B27" s="38" t="s">
        <v>96</v>
      </c>
      <c r="C27" s="39">
        <f t="shared" ref="C27:N27" si="12">SUM(C25:C26)</f>
        <v>232831.25</v>
      </c>
      <c r="D27" s="39">
        <f t="shared" si="12"/>
        <v>117153.2813</v>
      </c>
      <c r="E27" s="39">
        <f t="shared" si="12"/>
        <v>120286.4977</v>
      </c>
      <c r="F27" s="39">
        <f t="shared" si="12"/>
        <v>123535.2046</v>
      </c>
      <c r="G27" s="39">
        <f t="shared" si="12"/>
        <v>126903.7454</v>
      </c>
      <c r="H27" s="39">
        <f t="shared" si="12"/>
        <v>130396.629</v>
      </c>
      <c r="I27" s="39">
        <f t="shared" si="12"/>
        <v>134018.537</v>
      </c>
      <c r="J27" s="39">
        <f t="shared" si="12"/>
        <v>137774.3298</v>
      </c>
      <c r="K27" s="39">
        <f t="shared" si="12"/>
        <v>141669.0536</v>
      </c>
      <c r="L27" s="39">
        <f t="shared" si="12"/>
        <v>145707.9479</v>
      </c>
      <c r="M27" s="39">
        <f t="shared" si="12"/>
        <v>149896.4527</v>
      </c>
      <c r="N27" s="39">
        <f t="shared" si="12"/>
        <v>154240.2163</v>
      </c>
    </row>
    <row r="28" ht="15.75" customHeight="1">
      <c r="A28" s="11" t="s">
        <v>170</v>
      </c>
      <c r="B28" s="11" t="s">
        <v>96</v>
      </c>
      <c r="C28" s="37">
        <f>Assumptions!$B$49</f>
        <v>2280000</v>
      </c>
      <c r="D28" s="37">
        <f>Assumptions!$B$49</f>
        <v>2280000</v>
      </c>
      <c r="E28" s="37">
        <f>Assumptions!$B$49</f>
        <v>2280000</v>
      </c>
      <c r="F28" s="37">
        <f>Assumptions!$B$49</f>
        <v>2280000</v>
      </c>
      <c r="G28" s="37">
        <f>Assumptions!$B$49</f>
        <v>2280000</v>
      </c>
      <c r="H28" s="37">
        <f>Assumptions!$B$49</f>
        <v>2280000</v>
      </c>
      <c r="I28" s="37">
        <f>Assumptions!$B$49</f>
        <v>2280000</v>
      </c>
      <c r="J28" s="37">
        <f>Assumptions!$B$49</f>
        <v>2280000</v>
      </c>
      <c r="K28" s="37">
        <f>Assumptions!$B$49</f>
        <v>2280000</v>
      </c>
      <c r="L28" s="37">
        <f>Assumptions!$B$49</f>
        <v>2280000</v>
      </c>
      <c r="M28" s="37">
        <f>Assumptions!$B$49</f>
        <v>2280000</v>
      </c>
      <c r="N28" s="37">
        <f>Assumptions!$B$49</f>
        <v>2280000</v>
      </c>
    </row>
    <row r="29" ht="15.75" customHeight="1">
      <c r="A29" s="11" t="s">
        <v>174</v>
      </c>
      <c r="B29" s="11" t="s">
        <v>96</v>
      </c>
      <c r="C29" s="37">
        <f>C16</f>
        <v>-52864.61803</v>
      </c>
      <c r="D29" s="37">
        <f t="shared" ref="D29:N29" si="13">C29+D16</f>
        <v>-103000.6864</v>
      </c>
      <c r="E29" s="37">
        <f t="shared" si="13"/>
        <v>-150310.5408</v>
      </c>
      <c r="F29" s="37">
        <f t="shared" si="13"/>
        <v>-194691.1354</v>
      </c>
      <c r="G29" s="37">
        <f t="shared" si="13"/>
        <v>-236033.8253</v>
      </c>
      <c r="H29" s="37">
        <f t="shared" si="13"/>
        <v>-274224.1395</v>
      </c>
      <c r="I29" s="37">
        <f t="shared" si="13"/>
        <v>-309141.544</v>
      </c>
      <c r="J29" s="37">
        <f t="shared" si="13"/>
        <v>-340659.1957</v>
      </c>
      <c r="K29" s="37">
        <f t="shared" si="13"/>
        <v>-368643.685</v>
      </c>
      <c r="L29" s="37">
        <f t="shared" si="13"/>
        <v>-392954.7676</v>
      </c>
      <c r="M29" s="37">
        <f t="shared" si="13"/>
        <v>-413445.0858</v>
      </c>
      <c r="N29" s="37">
        <f t="shared" si="13"/>
        <v>-429959.8772</v>
      </c>
    </row>
    <row r="30" ht="15.75" customHeight="1">
      <c r="A30" s="38" t="s">
        <v>175</v>
      </c>
      <c r="B30" s="38" t="s">
        <v>96</v>
      </c>
      <c r="C30" s="39">
        <f t="shared" ref="C30:N30" si="14">SUM(C28:C29)</f>
        <v>2227135.382</v>
      </c>
      <c r="D30" s="39">
        <f t="shared" si="14"/>
        <v>2176999.314</v>
      </c>
      <c r="E30" s="39">
        <f t="shared" si="14"/>
        <v>2129689.459</v>
      </c>
      <c r="F30" s="39">
        <f t="shared" si="14"/>
        <v>2085308.865</v>
      </c>
      <c r="G30" s="39">
        <f t="shared" si="14"/>
        <v>2043966.175</v>
      </c>
      <c r="H30" s="39">
        <f t="shared" si="14"/>
        <v>2005775.861</v>
      </c>
      <c r="I30" s="39">
        <f t="shared" si="14"/>
        <v>1970858.456</v>
      </c>
      <c r="J30" s="39">
        <f t="shared" si="14"/>
        <v>1939340.804</v>
      </c>
      <c r="K30" s="39">
        <f t="shared" si="14"/>
        <v>1911356.315</v>
      </c>
      <c r="L30" s="39">
        <f t="shared" si="14"/>
        <v>1887045.232</v>
      </c>
      <c r="M30" s="39">
        <f t="shared" si="14"/>
        <v>1866554.914</v>
      </c>
      <c r="N30" s="39">
        <f t="shared" si="14"/>
        <v>1850040.123</v>
      </c>
    </row>
    <row r="31" ht="15.75" customHeight="1">
      <c r="A31" s="38" t="s">
        <v>176</v>
      </c>
      <c r="B31" s="38" t="s">
        <v>96</v>
      </c>
      <c r="C31" s="39">
        <f t="shared" ref="C31:N31" si="15">SUM(C27,C30)</f>
        <v>2459966.632</v>
      </c>
      <c r="D31" s="39">
        <f t="shared" si="15"/>
        <v>2294152.595</v>
      </c>
      <c r="E31" s="39">
        <f t="shared" si="15"/>
        <v>2249975.957</v>
      </c>
      <c r="F31" s="39">
        <f t="shared" si="15"/>
        <v>2208844.069</v>
      </c>
      <c r="G31" s="39">
        <f t="shared" si="15"/>
        <v>2170869.92</v>
      </c>
      <c r="H31" s="39">
        <f t="shared" si="15"/>
        <v>2136172.49</v>
      </c>
      <c r="I31" s="39">
        <f t="shared" si="15"/>
        <v>2104876.993</v>
      </c>
      <c r="J31" s="39">
        <f t="shared" si="15"/>
        <v>2077115.134</v>
      </c>
      <c r="K31" s="39">
        <f t="shared" si="15"/>
        <v>2053025.369</v>
      </c>
      <c r="L31" s="39">
        <f t="shared" si="15"/>
        <v>2032753.18</v>
      </c>
      <c r="M31" s="39">
        <f t="shared" si="15"/>
        <v>2016451.367</v>
      </c>
      <c r="N31" s="39">
        <f t="shared" si="15"/>
        <v>2004280.339</v>
      </c>
    </row>
    <row r="32" ht="15.75" customHeight="1">
      <c r="A32" s="11" t="s">
        <v>177</v>
      </c>
      <c r="B32" s="11" t="s">
        <v>96</v>
      </c>
      <c r="C32" s="37">
        <f t="shared" ref="C32:N32" si="16">C24-C31</f>
        <v>-0.0000000004656612873</v>
      </c>
      <c r="D32" s="37">
        <f t="shared" si="16"/>
        <v>0.0000000004656612873</v>
      </c>
      <c r="E32" s="37">
        <f t="shared" si="16"/>
        <v>0.0000000004656612873</v>
      </c>
      <c r="F32" s="37">
        <f t="shared" si="16"/>
        <v>-0.0000000004656612873</v>
      </c>
      <c r="G32" s="37">
        <f t="shared" si="16"/>
        <v>0</v>
      </c>
      <c r="H32" s="37">
        <f t="shared" si="16"/>
        <v>0.0000000004656612873</v>
      </c>
      <c r="I32" s="37">
        <f t="shared" si="16"/>
        <v>0.0000000004656612873</v>
      </c>
      <c r="J32" s="37">
        <f t="shared" si="16"/>
        <v>0.0000000002328306437</v>
      </c>
      <c r="K32" s="37">
        <f t="shared" si="16"/>
        <v>0.0000000004656612873</v>
      </c>
      <c r="L32" s="37">
        <f t="shared" si="16"/>
        <v>0.0000000004656612873</v>
      </c>
      <c r="M32" s="37">
        <f t="shared" si="16"/>
        <v>0.0000000004656612873</v>
      </c>
      <c r="N32" s="37">
        <f t="shared" si="16"/>
        <v>0.0000000002328306437</v>
      </c>
    </row>
    <row r="33" ht="15.75" customHeight="1"/>
    <row r="34" ht="19.5" customHeight="1">
      <c r="A34" s="6" t="s">
        <v>178</v>
      </c>
    </row>
    <row r="35" ht="15.75" customHeight="1">
      <c r="A35" s="11" t="s">
        <v>159</v>
      </c>
      <c r="B35" s="11" t="s">
        <v>96</v>
      </c>
      <c r="C35" s="37">
        <f t="shared" ref="C35:N35" si="17">C16</f>
        <v>-52864.61803</v>
      </c>
      <c r="D35" s="37">
        <f t="shared" si="17"/>
        <v>-50136.06837</v>
      </c>
      <c r="E35" s="37">
        <f t="shared" si="17"/>
        <v>-47309.85438</v>
      </c>
      <c r="F35" s="37">
        <f t="shared" si="17"/>
        <v>-44380.59462</v>
      </c>
      <c r="G35" s="37">
        <f t="shared" si="17"/>
        <v>-41342.68991</v>
      </c>
      <c r="H35" s="37">
        <f t="shared" si="17"/>
        <v>-38190.31414</v>
      </c>
      <c r="I35" s="37">
        <f t="shared" si="17"/>
        <v>-34917.40454</v>
      </c>
      <c r="J35" s="37">
        <f t="shared" si="17"/>
        <v>-31517.65173</v>
      </c>
      <c r="K35" s="37">
        <f t="shared" si="17"/>
        <v>-27984.48922</v>
      </c>
      <c r="L35" s="37">
        <f t="shared" si="17"/>
        <v>-24311.08261</v>
      </c>
      <c r="M35" s="37">
        <f t="shared" si="17"/>
        <v>-20490.31822</v>
      </c>
      <c r="N35" s="37">
        <f t="shared" si="17"/>
        <v>-16514.79138</v>
      </c>
    </row>
    <row r="36" ht="15.75" customHeight="1">
      <c r="A36" s="11" t="s">
        <v>156</v>
      </c>
      <c r="B36" s="11" t="s">
        <v>96</v>
      </c>
      <c r="C36" s="37">
        <f t="shared" ref="C36:N36" si="18">-C13</f>
        <v>-881.0769672</v>
      </c>
      <c r="D36" s="37">
        <f t="shared" si="18"/>
        <v>-1716.678107</v>
      </c>
      <c r="E36" s="37">
        <f t="shared" si="18"/>
        <v>-2505.17568</v>
      </c>
      <c r="F36" s="37">
        <f t="shared" si="18"/>
        <v>-3244.852258</v>
      </c>
      <c r="G36" s="37">
        <f t="shared" si="18"/>
        <v>-3933.897093</v>
      </c>
      <c r="H36" s="37">
        <f t="shared" si="18"/>
        <v>-4570.402334</v>
      </c>
      <c r="I36" s="37">
        <f t="shared" si="18"/>
        <v>-5152.359089</v>
      </c>
      <c r="J36" s="37">
        <f t="shared" si="18"/>
        <v>-5677.653307</v>
      </c>
      <c r="K36" s="37">
        <f t="shared" si="18"/>
        <v>-6144.061501</v>
      </c>
      <c r="L36" s="37">
        <f t="shared" si="18"/>
        <v>-6549.246277</v>
      </c>
      <c r="M36" s="37">
        <f t="shared" si="18"/>
        <v>-6890.751689</v>
      </c>
      <c r="N36" s="37">
        <f t="shared" si="18"/>
        <v>-7165.998379</v>
      </c>
    </row>
    <row r="37" ht="15.75" customHeight="1">
      <c r="A37" s="11" t="s">
        <v>180</v>
      </c>
      <c r="B37" s="11" t="s">
        <v>96</v>
      </c>
      <c r="C37" s="37">
        <f>-(C20-Assumptions!$B$43)</f>
        <v>18659.52833</v>
      </c>
      <c r="D37" s="37">
        <f t="shared" ref="D37:N37" si="19">-(D20-C20)</f>
        <v>-2260.109692</v>
      </c>
      <c r="E37" s="37">
        <f t="shared" si="19"/>
        <v>-2333.738141</v>
      </c>
      <c r="F37" s="37">
        <f t="shared" si="19"/>
        <v>-2409.834183</v>
      </c>
      <c r="G37" s="37">
        <f t="shared" si="19"/>
        <v>-2488.48284</v>
      </c>
      <c r="H37" s="37">
        <f t="shared" si="19"/>
        <v>-2569.772138</v>
      </c>
      <c r="I37" s="37">
        <f t="shared" si="19"/>
        <v>-2653.793219</v>
      </c>
      <c r="J37" s="37">
        <f t="shared" si="19"/>
        <v>-2740.640454</v>
      </c>
      <c r="K37" s="37">
        <f t="shared" si="19"/>
        <v>-2830.411559</v>
      </c>
      <c r="L37" s="37">
        <f t="shared" si="19"/>
        <v>-2923.207715</v>
      </c>
      <c r="M37" s="37">
        <f t="shared" si="19"/>
        <v>-3019.133697</v>
      </c>
      <c r="N37" s="37">
        <f t="shared" si="19"/>
        <v>-3118.298003</v>
      </c>
    </row>
    <row r="38" ht="15.75" customHeight="1">
      <c r="A38" s="11" t="s">
        <v>181</v>
      </c>
      <c r="B38" s="11" t="s">
        <v>96</v>
      </c>
      <c r="C38" s="37">
        <f>-(C21-Assumptions!$B$44)</f>
        <v>-108593.75</v>
      </c>
      <c r="D38" s="37">
        <f t="shared" ref="D38:N38" si="20">-(D21-C21)</f>
        <v>-6939.84375</v>
      </c>
      <c r="E38" s="37">
        <f t="shared" si="20"/>
        <v>-7195.042969</v>
      </c>
      <c r="F38" s="37">
        <f t="shared" si="20"/>
        <v>-7459.821387</v>
      </c>
      <c r="G38" s="37">
        <f t="shared" si="20"/>
        <v>-7734.544385</v>
      </c>
      <c r="H38" s="37">
        <f t="shared" si="20"/>
        <v>-8019.591455</v>
      </c>
      <c r="I38" s="37">
        <f t="shared" si="20"/>
        <v>-8315.356744</v>
      </c>
      <c r="J38" s="37">
        <f t="shared" si="20"/>
        <v>-8622.249631</v>
      </c>
      <c r="K38" s="37">
        <f t="shared" si="20"/>
        <v>-8940.695317</v>
      </c>
      <c r="L38" s="37">
        <f t="shared" si="20"/>
        <v>-9271.135446</v>
      </c>
      <c r="M38" s="37">
        <f t="shared" si="20"/>
        <v>-9614.028742</v>
      </c>
      <c r="N38" s="37">
        <f t="shared" si="20"/>
        <v>-9969.851678</v>
      </c>
    </row>
    <row r="39" ht="15.75" customHeight="1">
      <c r="A39" s="11" t="s">
        <v>182</v>
      </c>
      <c r="B39" s="11" t="s">
        <v>96</v>
      </c>
      <c r="C39" s="37">
        <f>C25-Assumptions!$B$47</f>
        <v>137831.25</v>
      </c>
      <c r="D39" s="37">
        <f t="shared" ref="D39:N39" si="21">D25-C25</f>
        <v>-115677.9688</v>
      </c>
      <c r="E39" s="37">
        <f t="shared" si="21"/>
        <v>3133.216406</v>
      </c>
      <c r="F39" s="37">
        <f t="shared" si="21"/>
        <v>3248.706973</v>
      </c>
      <c r="G39" s="37">
        <f t="shared" si="21"/>
        <v>3368.540753</v>
      </c>
      <c r="H39" s="37">
        <f t="shared" si="21"/>
        <v>3492.883652</v>
      </c>
      <c r="I39" s="37">
        <f t="shared" si="21"/>
        <v>3621.907987</v>
      </c>
      <c r="J39" s="37">
        <f t="shared" si="21"/>
        <v>3755.792739</v>
      </c>
      <c r="K39" s="37">
        <f t="shared" si="21"/>
        <v>3894.723813</v>
      </c>
      <c r="L39" s="37">
        <f t="shared" si="21"/>
        <v>4038.894307</v>
      </c>
      <c r="M39" s="37">
        <f t="shared" si="21"/>
        <v>4188.504793</v>
      </c>
      <c r="N39" s="37">
        <f t="shared" si="21"/>
        <v>4343.763608</v>
      </c>
    </row>
    <row r="40" ht="15.75" customHeight="1">
      <c r="A40" s="38" t="s">
        <v>183</v>
      </c>
      <c r="B40" s="38" t="s">
        <v>96</v>
      </c>
      <c r="C40" s="39">
        <f t="shared" ref="C40:N40" si="22">SUM(C35:C39)</f>
        <v>-5848.666667</v>
      </c>
      <c r="D40" s="39">
        <f t="shared" si="22"/>
        <v>-176730.6687</v>
      </c>
      <c r="E40" s="39">
        <f t="shared" si="22"/>
        <v>-56210.59476</v>
      </c>
      <c r="F40" s="39">
        <f t="shared" si="22"/>
        <v>-54246.39547</v>
      </c>
      <c r="G40" s="39">
        <f t="shared" si="22"/>
        <v>-52131.07348</v>
      </c>
      <c r="H40" s="39">
        <f t="shared" si="22"/>
        <v>-49857.19642</v>
      </c>
      <c r="I40" s="39">
        <f t="shared" si="22"/>
        <v>-47417.00561</v>
      </c>
      <c r="J40" s="39">
        <f t="shared" si="22"/>
        <v>-44802.40238</v>
      </c>
      <c r="K40" s="39">
        <f t="shared" si="22"/>
        <v>-42004.93379</v>
      </c>
      <c r="L40" s="39">
        <f t="shared" si="22"/>
        <v>-39015.77774</v>
      </c>
      <c r="M40" s="39">
        <f t="shared" si="22"/>
        <v>-35825.72755</v>
      </c>
      <c r="N40" s="39">
        <f t="shared" si="22"/>
        <v>-32425.17584</v>
      </c>
    </row>
    <row r="41" ht="15.75" customHeight="1">
      <c r="A41" s="11" t="s">
        <v>119</v>
      </c>
      <c r="B41" s="11" t="s">
        <v>96</v>
      </c>
      <c r="C41" s="37">
        <f>-OpEx!C13</f>
        <v>-10000</v>
      </c>
      <c r="D41" s="37">
        <f>-OpEx!D13</f>
        <v>-10000</v>
      </c>
      <c r="E41" s="37">
        <f>-OpEx!E13</f>
        <v>-10000</v>
      </c>
      <c r="F41" s="37">
        <f>-OpEx!F13</f>
        <v>-10000</v>
      </c>
      <c r="G41" s="37">
        <f>-OpEx!G13</f>
        <v>-10000</v>
      </c>
      <c r="H41" s="37">
        <f>-OpEx!H13</f>
        <v>-10000</v>
      </c>
      <c r="I41" s="37">
        <f>-OpEx!I13</f>
        <v>-10000</v>
      </c>
      <c r="J41" s="37">
        <f>-OpEx!J13</f>
        <v>-10000</v>
      </c>
      <c r="K41" s="37">
        <f>-OpEx!K13</f>
        <v>-10000</v>
      </c>
      <c r="L41" s="37">
        <f>-OpEx!L13</f>
        <v>-10000</v>
      </c>
      <c r="M41" s="37">
        <f>-OpEx!M13</f>
        <v>-10000</v>
      </c>
      <c r="N41" s="37">
        <f>-OpEx!N13</f>
        <v>-10000</v>
      </c>
    </row>
    <row r="42" ht="15.75" customHeight="1">
      <c r="A42" s="11" t="s">
        <v>184</v>
      </c>
      <c r="B42" s="11" t="s">
        <v>96</v>
      </c>
      <c r="C42" s="37">
        <f t="shared" ref="C42:N42" si="23">C41</f>
        <v>-10000</v>
      </c>
      <c r="D42" s="37">
        <f t="shared" si="23"/>
        <v>-10000</v>
      </c>
      <c r="E42" s="37">
        <f t="shared" si="23"/>
        <v>-10000</v>
      </c>
      <c r="F42" s="37">
        <f t="shared" si="23"/>
        <v>-10000</v>
      </c>
      <c r="G42" s="37">
        <f t="shared" si="23"/>
        <v>-10000</v>
      </c>
      <c r="H42" s="37">
        <f t="shared" si="23"/>
        <v>-10000</v>
      </c>
      <c r="I42" s="37">
        <f t="shared" si="23"/>
        <v>-10000</v>
      </c>
      <c r="J42" s="37">
        <f t="shared" si="23"/>
        <v>-10000</v>
      </c>
      <c r="K42" s="37">
        <f t="shared" si="23"/>
        <v>-10000</v>
      </c>
      <c r="L42" s="37">
        <f t="shared" si="23"/>
        <v>-10000</v>
      </c>
      <c r="M42" s="37">
        <f t="shared" si="23"/>
        <v>-10000</v>
      </c>
      <c r="N42" s="37">
        <f t="shared" si="23"/>
        <v>-10000</v>
      </c>
    </row>
    <row r="43" ht="15.75" customHeight="1">
      <c r="A43" s="38" t="s">
        <v>185</v>
      </c>
      <c r="B43" s="38" t="s">
        <v>96</v>
      </c>
      <c r="C43" s="39">
        <f t="shared" ref="C43:N43" si="24">SUM(C40,C42)</f>
        <v>-15848.66667</v>
      </c>
      <c r="D43" s="39">
        <f t="shared" si="24"/>
        <v>-186730.6687</v>
      </c>
      <c r="E43" s="39">
        <f t="shared" si="24"/>
        <v>-66210.59476</v>
      </c>
      <c r="F43" s="39">
        <f t="shared" si="24"/>
        <v>-64246.39547</v>
      </c>
      <c r="G43" s="39">
        <f t="shared" si="24"/>
        <v>-62131.07348</v>
      </c>
      <c r="H43" s="39">
        <f t="shared" si="24"/>
        <v>-59857.19642</v>
      </c>
      <c r="I43" s="39">
        <f t="shared" si="24"/>
        <v>-57417.00561</v>
      </c>
      <c r="J43" s="39">
        <f t="shared" si="24"/>
        <v>-54802.40238</v>
      </c>
      <c r="K43" s="39">
        <f t="shared" si="24"/>
        <v>-52004.93379</v>
      </c>
      <c r="L43" s="39">
        <f t="shared" si="24"/>
        <v>-49015.77774</v>
      </c>
      <c r="M43" s="39">
        <f t="shared" si="24"/>
        <v>-45825.72755</v>
      </c>
      <c r="N43" s="39">
        <f t="shared" si="24"/>
        <v>-42425.17584</v>
      </c>
    </row>
    <row r="44" ht="15.75" customHeight="1">
      <c r="A44" s="38" t="s">
        <v>186</v>
      </c>
      <c r="B44" s="38" t="s">
        <v>96</v>
      </c>
      <c r="C44" s="39">
        <f>Assumptions!$B$30+C43</f>
        <v>2084151.333</v>
      </c>
      <c r="D44" s="39">
        <f t="shared" ref="D44:N44" si="25">C44+D43</f>
        <v>1897420.665</v>
      </c>
      <c r="E44" s="39">
        <f t="shared" si="25"/>
        <v>1831210.07</v>
      </c>
      <c r="F44" s="39">
        <f t="shared" si="25"/>
        <v>1766963.674</v>
      </c>
      <c r="G44" s="39">
        <f t="shared" si="25"/>
        <v>1704832.601</v>
      </c>
      <c r="H44" s="39">
        <f t="shared" si="25"/>
        <v>1644975.405</v>
      </c>
      <c r="I44" s="39">
        <f t="shared" si="25"/>
        <v>1587558.399</v>
      </c>
      <c r="J44" s="39">
        <f t="shared" si="25"/>
        <v>1532755.997</v>
      </c>
      <c r="K44" s="39">
        <f t="shared" si="25"/>
        <v>1480751.063</v>
      </c>
      <c r="L44" s="39">
        <f t="shared" si="25"/>
        <v>1431735.285</v>
      </c>
      <c r="M44" s="39">
        <f t="shared" si="25"/>
        <v>1385909.557</v>
      </c>
      <c r="N44" s="39">
        <f t="shared" si="25"/>
        <v>1343484.382</v>
      </c>
    </row>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N1"/>
    <mergeCell ref="A2:N2"/>
    <mergeCell ref="A6:N6"/>
    <mergeCell ref="A18:N18"/>
    <mergeCell ref="A34:N34"/>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31.0"/>
    <col customWidth="1" min="2" max="2" width="16.0"/>
    <col customWidth="1" min="3" max="14" width="13.0"/>
    <col customWidth="1" min="15" max="26" width="8.63"/>
  </cols>
  <sheetData>
    <row r="1" ht="27.75" customHeight="1">
      <c r="A1" s="35" t="s">
        <v>213</v>
      </c>
      <c r="P1" s="11" t="s">
        <v>214</v>
      </c>
      <c r="Q1" s="11" t="s">
        <v>215</v>
      </c>
      <c r="R1" s="11" t="s">
        <v>162</v>
      </c>
      <c r="S1" s="11" t="s">
        <v>87</v>
      </c>
      <c r="T1" s="11" t="s">
        <v>214</v>
      </c>
      <c r="U1" s="11" t="s">
        <v>162</v>
      </c>
      <c r="V1" s="11" t="s">
        <v>87</v>
      </c>
    </row>
    <row r="2" ht="21.75" customHeight="1">
      <c r="A2" s="4" t="s">
        <v>216</v>
      </c>
      <c r="P2" s="11" t="s">
        <v>15</v>
      </c>
      <c r="Q2" s="46">
        <f>C12</f>
        <v>256691.805</v>
      </c>
      <c r="R2" s="46">
        <f>C16</f>
        <v>2084151.333</v>
      </c>
      <c r="S2" s="46">
        <f>C15</f>
        <v>193593.75</v>
      </c>
      <c r="T2" s="11" t="str">
        <f t="shared" ref="T2:T13" si="2">P2</f>
        <v>Jan-27</v>
      </c>
      <c r="U2" s="46">
        <f t="shared" ref="U2:V2" si="1">R2</f>
        <v>2084151.333</v>
      </c>
      <c r="V2" s="46">
        <f t="shared" si="1"/>
        <v>193593.75</v>
      </c>
    </row>
    <row r="3">
      <c r="P3" s="11" t="s">
        <v>17</v>
      </c>
      <c r="Q3" s="46">
        <f>D12</f>
        <v>266130.691</v>
      </c>
      <c r="R3" s="46">
        <f>D16</f>
        <v>1897420.665</v>
      </c>
      <c r="S3" s="46">
        <f>D15</f>
        <v>200533.5938</v>
      </c>
      <c r="T3" s="11" t="str">
        <f t="shared" si="2"/>
        <v>Feb-27</v>
      </c>
      <c r="U3" s="46">
        <f t="shared" ref="U3:V3" si="3">R3</f>
        <v>1897420.665</v>
      </c>
      <c r="V3" s="46">
        <f t="shared" si="3"/>
        <v>200533.5938</v>
      </c>
    </row>
    <row r="4" ht="27.75" customHeight="1">
      <c r="A4" s="10" t="s">
        <v>29</v>
      </c>
      <c r="B4" s="11" t="str">
        <f>Assumptions!B4</f>
        <v>Base</v>
      </c>
      <c r="D4" s="47" t="s">
        <v>217</v>
      </c>
      <c r="E4" s="40">
        <f>'3 Statements'!N7/'3 Statements'!C7-1</f>
        <v>0.4899636834</v>
      </c>
      <c r="P4" s="11" t="s">
        <v>18</v>
      </c>
      <c r="Q4" s="46">
        <f>E12</f>
        <v>275924.4746</v>
      </c>
      <c r="R4" s="46">
        <f>E16</f>
        <v>1831210.07</v>
      </c>
      <c r="S4" s="46">
        <f>E15</f>
        <v>207728.6367</v>
      </c>
      <c r="T4" s="11" t="str">
        <f t="shared" si="2"/>
        <v>Mar-27</v>
      </c>
      <c r="U4" s="46">
        <f t="shared" ref="U4:V4" si="4">R4</f>
        <v>1831210.07</v>
      </c>
      <c r="V4" s="46">
        <f t="shared" si="4"/>
        <v>207728.6367</v>
      </c>
    </row>
    <row r="5" ht="27.75" customHeight="1">
      <c r="A5" s="10" t="s">
        <v>218</v>
      </c>
      <c r="B5" s="37">
        <f>SUM('3 Statements'!C7:N7)</f>
        <v>3788499.222</v>
      </c>
      <c r="D5" s="47" t="s">
        <v>219</v>
      </c>
      <c r="E5" s="37">
        <f>MIN('3 Statements'!C44:N44)</f>
        <v>1343484.382</v>
      </c>
      <c r="P5" s="11" t="s">
        <v>19</v>
      </c>
      <c r="Q5" s="46">
        <f>F12</f>
        <v>286086.7271</v>
      </c>
      <c r="R5" s="46">
        <f>F16</f>
        <v>1766963.674</v>
      </c>
      <c r="S5" s="46">
        <f>F15</f>
        <v>215188.4581</v>
      </c>
      <c r="T5" s="11" t="str">
        <f t="shared" si="2"/>
        <v>Apr-27</v>
      </c>
      <c r="U5" s="46">
        <f t="shared" ref="U5:V5" si="5">R5</f>
        <v>1766963.674</v>
      </c>
      <c r="V5" s="46">
        <f t="shared" si="5"/>
        <v>215188.4581</v>
      </c>
    </row>
    <row r="6" ht="27.75" customHeight="1">
      <c r="A6" s="10" t="s">
        <v>220</v>
      </c>
      <c r="B6" s="40">
        <f>SUM('3 Statements'!C9:N9)/SUM('3 Statements'!C7:N7)</f>
        <v>0.6998977255</v>
      </c>
      <c r="D6" s="47" t="s">
        <v>221</v>
      </c>
      <c r="E6" s="37">
        <f>Assumptions!B29</f>
        <v>100000</v>
      </c>
      <c r="P6" s="11" t="s">
        <v>20</v>
      </c>
      <c r="Q6" s="46">
        <f>G12</f>
        <v>296631.5453</v>
      </c>
      <c r="R6" s="46">
        <f>G16</f>
        <v>1704832.601</v>
      </c>
      <c r="S6" s="46">
        <f>G15</f>
        <v>222923.0025</v>
      </c>
      <c r="T6" s="11" t="str">
        <f t="shared" si="2"/>
        <v>May-27</v>
      </c>
      <c r="U6" s="46">
        <f t="shared" ref="U6:V6" si="6">R6</f>
        <v>1704832.601</v>
      </c>
      <c r="V6" s="46">
        <f t="shared" si="6"/>
        <v>222923.0025</v>
      </c>
    </row>
    <row r="7" ht="27.75" customHeight="1">
      <c r="A7" s="10" t="s">
        <v>222</v>
      </c>
      <c r="B7" s="37">
        <f>SUM('3 Statements'!C12:N12)</f>
        <v>-484392.0298</v>
      </c>
      <c r="D7" s="47" t="s">
        <v>223</v>
      </c>
      <c r="E7" s="37">
        <f>MAX(Inventory!C36:N36)</f>
        <v>285675.9115</v>
      </c>
      <c r="P7" s="11" t="s">
        <v>22</v>
      </c>
      <c r="Q7" s="46">
        <f>H12</f>
        <v>307573.572</v>
      </c>
      <c r="R7" s="46">
        <f>H16</f>
        <v>1644975.405</v>
      </c>
      <c r="S7" s="46">
        <f>H15</f>
        <v>230942.5939</v>
      </c>
      <c r="T7" s="11" t="str">
        <f t="shared" si="2"/>
        <v>Jun-27</v>
      </c>
      <c r="U7" s="46">
        <f t="shared" ref="U7:V7" si="7">R7</f>
        <v>1644975.405</v>
      </c>
      <c r="V7" s="46">
        <f t="shared" si="7"/>
        <v>230942.5939</v>
      </c>
    </row>
    <row r="8" ht="27.75" customHeight="1">
      <c r="A8" s="10" t="s">
        <v>186</v>
      </c>
      <c r="B8" s="37">
        <f>'3 Statements'!N44</f>
        <v>1343484.382</v>
      </c>
      <c r="D8" s="47" t="s">
        <v>35</v>
      </c>
      <c r="E8" s="11" t="str">
        <f>Checks!B3</f>
        <v>PASS</v>
      </c>
      <c r="P8" s="11" t="s">
        <v>23</v>
      </c>
      <c r="Q8" s="46">
        <f>I12</f>
        <v>318928.0174</v>
      </c>
      <c r="R8" s="46">
        <f>I16</f>
        <v>1587558.399</v>
      </c>
      <c r="S8" s="46">
        <f>I15</f>
        <v>239257.9507</v>
      </c>
      <c r="T8" s="11" t="str">
        <f t="shared" si="2"/>
        <v>Jul-27</v>
      </c>
      <c r="U8" s="46">
        <f t="shared" ref="U8:V8" si="8">R8</f>
        <v>1587558.399</v>
      </c>
      <c r="V8" s="46">
        <f t="shared" si="8"/>
        <v>239257.9507</v>
      </c>
    </row>
    <row r="9">
      <c r="P9" s="11" t="s">
        <v>24</v>
      </c>
      <c r="Q9" s="46">
        <f>J12</f>
        <v>330710.6813</v>
      </c>
      <c r="R9" s="46">
        <f>J16</f>
        <v>1532755.997</v>
      </c>
      <c r="S9" s="46">
        <f>J15</f>
        <v>247880.2003</v>
      </c>
      <c r="T9" s="11" t="str">
        <f t="shared" si="2"/>
        <v>Aug-27</v>
      </c>
      <c r="U9" s="46">
        <f t="shared" ref="U9:V9" si="9">R9</f>
        <v>1532755.997</v>
      </c>
      <c r="V9" s="46">
        <f t="shared" si="9"/>
        <v>247880.2003</v>
      </c>
    </row>
    <row r="10" ht="19.5" customHeight="1">
      <c r="A10" s="6" t="s">
        <v>224</v>
      </c>
      <c r="P10" s="11" t="s">
        <v>25</v>
      </c>
      <c r="Q10" s="46">
        <f>K12</f>
        <v>342937.976</v>
      </c>
      <c r="R10" s="46">
        <f>K16</f>
        <v>1480751.063</v>
      </c>
      <c r="S10" s="46">
        <f>K15</f>
        <v>256820.8956</v>
      </c>
      <c r="T10" s="11" t="str">
        <f t="shared" si="2"/>
        <v>Sep-27</v>
      </c>
      <c r="U10" s="46">
        <f t="shared" ref="U10:V10" si="10">R10</f>
        <v>1480751.063</v>
      </c>
      <c r="V10" s="46">
        <f t="shared" si="10"/>
        <v>256820.8956</v>
      </c>
    </row>
    <row r="11">
      <c r="A11" s="36" t="s">
        <v>11</v>
      </c>
      <c r="B11" s="36" t="s">
        <v>13</v>
      </c>
      <c r="C11" s="36" t="s">
        <v>15</v>
      </c>
      <c r="D11" s="36" t="s">
        <v>17</v>
      </c>
      <c r="E11" s="36" t="s">
        <v>18</v>
      </c>
      <c r="F11" s="36" t="s">
        <v>19</v>
      </c>
      <c r="G11" s="36" t="s">
        <v>20</v>
      </c>
      <c r="H11" s="36" t="s">
        <v>22</v>
      </c>
      <c r="I11" s="36" t="s">
        <v>23</v>
      </c>
      <c r="J11" s="36" t="s">
        <v>24</v>
      </c>
      <c r="K11" s="36" t="s">
        <v>25</v>
      </c>
      <c r="L11" s="36" t="s">
        <v>26</v>
      </c>
      <c r="M11" s="36" t="s">
        <v>27</v>
      </c>
      <c r="N11" s="36" t="s">
        <v>28</v>
      </c>
      <c r="P11" s="11" t="s">
        <v>26</v>
      </c>
      <c r="Q11" s="46">
        <f>L12</f>
        <v>355626.9504</v>
      </c>
      <c r="R11" s="46">
        <f>L16</f>
        <v>1431735.285</v>
      </c>
      <c r="S11" s="46">
        <f>L15</f>
        <v>266092.0311</v>
      </c>
      <c r="T11" s="11" t="str">
        <f t="shared" si="2"/>
        <v>Oct-27</v>
      </c>
      <c r="U11" s="46">
        <f t="shared" ref="U11:V11" si="11">R11</f>
        <v>1431735.285</v>
      </c>
      <c r="V11" s="46">
        <f t="shared" si="11"/>
        <v>266092.0311</v>
      </c>
    </row>
    <row r="12">
      <c r="A12" s="11" t="s">
        <v>150</v>
      </c>
      <c r="B12" s="11" t="s">
        <v>96</v>
      </c>
      <c r="C12" s="37">
        <f>'3 Statements'!C7</f>
        <v>256691.805</v>
      </c>
      <c r="D12" s="37">
        <f>'3 Statements'!D7</f>
        <v>266130.691</v>
      </c>
      <c r="E12" s="37">
        <f>'3 Statements'!E7</f>
        <v>275924.4746</v>
      </c>
      <c r="F12" s="37">
        <f>'3 Statements'!F7</f>
        <v>286086.7271</v>
      </c>
      <c r="G12" s="37">
        <f>'3 Statements'!G7</f>
        <v>296631.5453</v>
      </c>
      <c r="H12" s="37">
        <f>'3 Statements'!H7</f>
        <v>307573.572</v>
      </c>
      <c r="I12" s="37">
        <f>'3 Statements'!I7</f>
        <v>318928.0174</v>
      </c>
      <c r="J12" s="37">
        <f>'3 Statements'!J7</f>
        <v>330710.6813</v>
      </c>
      <c r="K12" s="37">
        <f>'3 Statements'!K7</f>
        <v>342937.976</v>
      </c>
      <c r="L12" s="37">
        <f>'3 Statements'!L7</f>
        <v>355626.9504</v>
      </c>
      <c r="M12" s="37">
        <f>'3 Statements'!M7</f>
        <v>368795.315</v>
      </c>
      <c r="N12" s="37">
        <f>'3 Statements'!N7</f>
        <v>382461.4673</v>
      </c>
      <c r="P12" s="11" t="s">
        <v>27</v>
      </c>
      <c r="Q12" s="46">
        <f>M12</f>
        <v>368795.315</v>
      </c>
      <c r="R12" s="46">
        <f>M16</f>
        <v>1385909.557</v>
      </c>
      <c r="S12" s="46">
        <f>M15</f>
        <v>275706.0598</v>
      </c>
      <c r="T12" s="11" t="str">
        <f t="shared" si="2"/>
        <v>Nov-27</v>
      </c>
      <c r="U12" s="46">
        <f t="shared" ref="U12:V12" si="12">R12</f>
        <v>1385909.557</v>
      </c>
      <c r="V12" s="46">
        <f t="shared" si="12"/>
        <v>275706.0598</v>
      </c>
    </row>
    <row r="13">
      <c r="A13" s="11" t="s">
        <v>153</v>
      </c>
      <c r="B13" s="11" t="s">
        <v>154</v>
      </c>
      <c r="C13" s="40">
        <f>'3 Statements'!C10</f>
        <v>0.6983250011</v>
      </c>
      <c r="D13" s="40">
        <f>'3 Statements'!D10</f>
        <v>0.6985938105</v>
      </c>
      <c r="E13" s="40">
        <f>'3 Statements'!E10</f>
        <v>0.6988616004</v>
      </c>
      <c r="F13" s="40">
        <f>'3 Statements'!F10</f>
        <v>0.6991283584</v>
      </c>
      <c r="G13" s="40">
        <f>'3 Statements'!G10</f>
        <v>0.6993940718</v>
      </c>
      <c r="H13" s="40">
        <f>'3 Statements'!H10</f>
        <v>0.6996587289</v>
      </c>
      <c r="I13" s="40">
        <f>'3 Statements'!I10</f>
        <v>0.6999223177</v>
      </c>
      <c r="J13" s="40">
        <f>'3 Statements'!J10</f>
        <v>0.700184827</v>
      </c>
      <c r="K13" s="40">
        <f>'3 Statements'!K10</f>
        <v>0.7004462456</v>
      </c>
      <c r="L13" s="40">
        <f>'3 Statements'!L10</f>
        <v>0.7007065626</v>
      </c>
      <c r="M13" s="40">
        <f>'3 Statements'!M10</f>
        <v>0.7009657676</v>
      </c>
      <c r="N13" s="40">
        <f>'3 Statements'!N10</f>
        <v>0.7012238503</v>
      </c>
      <c r="P13" s="11" t="s">
        <v>28</v>
      </c>
      <c r="Q13" s="46">
        <f>N12</f>
        <v>382461.4673</v>
      </c>
      <c r="R13" s="46">
        <f>N16</f>
        <v>1343484.382</v>
      </c>
      <c r="S13" s="46">
        <f>N15</f>
        <v>285675.9115</v>
      </c>
      <c r="T13" s="11" t="str">
        <f t="shared" si="2"/>
        <v>Dec-27</v>
      </c>
      <c r="U13" s="46">
        <f t="shared" ref="U13:V13" si="13">R13</f>
        <v>1343484.382</v>
      </c>
      <c r="V13" s="46">
        <f t="shared" si="13"/>
        <v>285675.9115</v>
      </c>
    </row>
    <row r="14">
      <c r="A14" s="11" t="s">
        <v>155</v>
      </c>
      <c r="B14" s="11" t="s">
        <v>96</v>
      </c>
      <c r="C14" s="37">
        <f>'3 Statements'!C12</f>
        <v>-53745.695</v>
      </c>
      <c r="D14" s="37">
        <f>'3 Statements'!D12</f>
        <v>-51852.74648</v>
      </c>
      <c r="E14" s="37">
        <f>'3 Statements'!E12</f>
        <v>-49815.03006</v>
      </c>
      <c r="F14" s="37">
        <f>'3 Statements'!F12</f>
        <v>-47625.44687</v>
      </c>
      <c r="G14" s="37">
        <f>'3 Statements'!G12</f>
        <v>-45276.58701</v>
      </c>
      <c r="H14" s="37">
        <f>'3 Statements'!H12</f>
        <v>-42760.71648</v>
      </c>
      <c r="I14" s="37">
        <f>'3 Statements'!I12</f>
        <v>-40069.76363</v>
      </c>
      <c r="J14" s="37">
        <f>'3 Statements'!J12</f>
        <v>-37195.30504</v>
      </c>
      <c r="K14" s="37">
        <f>'3 Statements'!K12</f>
        <v>-34128.55073</v>
      </c>
      <c r="L14" s="37">
        <f>'3 Statements'!L12</f>
        <v>-30860.32889</v>
      </c>
      <c r="M14" s="37">
        <f>'3 Statements'!M12</f>
        <v>-27381.06991</v>
      </c>
      <c r="N14" s="37">
        <f>'3 Statements'!N12</f>
        <v>-23680.78976</v>
      </c>
    </row>
    <row r="15">
      <c r="A15" s="11" t="s">
        <v>129</v>
      </c>
      <c r="B15" s="11" t="s">
        <v>96</v>
      </c>
      <c r="C15" s="37">
        <f>Inventory!C36</f>
        <v>193593.75</v>
      </c>
      <c r="D15" s="37">
        <f>Inventory!D36</f>
        <v>200533.5938</v>
      </c>
      <c r="E15" s="37">
        <f>Inventory!E36</f>
        <v>207728.6367</v>
      </c>
      <c r="F15" s="37">
        <f>Inventory!F36</f>
        <v>215188.4581</v>
      </c>
      <c r="G15" s="37">
        <f>Inventory!G36</f>
        <v>222923.0025</v>
      </c>
      <c r="H15" s="37">
        <f>Inventory!H36</f>
        <v>230942.5939</v>
      </c>
      <c r="I15" s="37">
        <f>Inventory!I36</f>
        <v>239257.9507</v>
      </c>
      <c r="J15" s="37">
        <f>Inventory!J36</f>
        <v>247880.2003</v>
      </c>
      <c r="K15" s="37">
        <f>Inventory!K36</f>
        <v>256820.8956</v>
      </c>
      <c r="L15" s="37">
        <f>Inventory!L36</f>
        <v>266092.0311</v>
      </c>
      <c r="M15" s="37">
        <f>Inventory!M36</f>
        <v>275706.0598</v>
      </c>
      <c r="N15" s="37">
        <f>Inventory!N36</f>
        <v>285675.9115</v>
      </c>
    </row>
    <row r="16">
      <c r="A16" s="11" t="s">
        <v>186</v>
      </c>
      <c r="B16" s="11" t="s">
        <v>96</v>
      </c>
      <c r="C16" s="37">
        <f>'3 Statements'!C44</f>
        <v>2084151.333</v>
      </c>
      <c r="D16" s="37">
        <f>'3 Statements'!D44</f>
        <v>1897420.665</v>
      </c>
      <c r="E16" s="37">
        <f>'3 Statements'!E44</f>
        <v>1831210.07</v>
      </c>
      <c r="F16" s="37">
        <f>'3 Statements'!F44</f>
        <v>1766963.674</v>
      </c>
      <c r="G16" s="37">
        <f>'3 Statements'!G44</f>
        <v>1704832.601</v>
      </c>
      <c r="H16" s="37">
        <f>'3 Statements'!H44</f>
        <v>1644975.405</v>
      </c>
      <c r="I16" s="37">
        <f>'3 Statements'!I44</f>
        <v>1587558.399</v>
      </c>
      <c r="J16" s="37">
        <f>'3 Statements'!J44</f>
        <v>1532755.997</v>
      </c>
      <c r="K16" s="37">
        <f>'3 Statements'!K44</f>
        <v>1480751.063</v>
      </c>
      <c r="L16" s="37">
        <f>'3 Statements'!L44</f>
        <v>1431735.285</v>
      </c>
      <c r="M16" s="37">
        <f>'3 Statements'!M44</f>
        <v>1385909.557</v>
      </c>
      <c r="N16" s="37">
        <f>'3 Statements'!N44</f>
        <v>1343484.382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N1"/>
    <mergeCell ref="A2:N2"/>
    <mergeCell ref="A10:N10"/>
  </mergeCells>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31.0"/>
    <col customWidth="1" min="2" max="2" width="16.0"/>
    <col customWidth="1" min="3" max="14" width="13.0"/>
    <col customWidth="1" min="15" max="26" width="8.63"/>
  </cols>
  <sheetData>
    <row r="1" ht="27.75" customHeight="1">
      <c r="A1" s="35" t="s">
        <v>187</v>
      </c>
    </row>
    <row r="2" ht="21.75" customHeight="1">
      <c r="A2" s="4" t="s">
        <v>188</v>
      </c>
    </row>
    <row r="3">
      <c r="A3" s="44" t="s">
        <v>189</v>
      </c>
      <c r="B3" s="44" t="str">
        <f>IF(COUNTIF(F7:F14,"FAIL")=0,"PASS","FAIL")</f>
        <v>PASS</v>
      </c>
    </row>
    <row r="6">
      <c r="A6" s="6" t="s">
        <v>190</v>
      </c>
      <c r="B6" s="6" t="s">
        <v>191</v>
      </c>
      <c r="C6" s="6" t="s">
        <v>192</v>
      </c>
      <c r="D6" s="6" t="s">
        <v>193</v>
      </c>
      <c r="E6" s="6" t="s">
        <v>194</v>
      </c>
      <c r="F6" s="6" t="s">
        <v>195</v>
      </c>
      <c r="G6" s="6" t="s">
        <v>196</v>
      </c>
    </row>
    <row r="7">
      <c r="A7" s="11" t="s">
        <v>197</v>
      </c>
      <c r="B7" s="45">
        <f>ABS('3 Statements'!C32)+ABS('3 Statements'!D32)+ABS('3 Statements'!E32)+ABS('3 Statements'!F32)+ABS('3 Statements'!G32)+ABS('3 Statements'!H32)+ABS('3 Statements'!I32)+ABS('3 Statements'!J32)+ABS('3 Statements'!K32)+ABS('3 Statements'!L32)+ABS('3 Statements'!M32)+ABS('3 Statements'!N32)</f>
        <v>0.00000000256113708</v>
      </c>
      <c r="C7" s="45">
        <v>0.0</v>
      </c>
      <c r="D7" s="45">
        <f t="shared" ref="D7:D14" si="1">B7-C7</f>
        <v>0.00000000256113708</v>
      </c>
      <c r="E7" s="45">
        <v>1.0</v>
      </c>
      <c r="F7" s="11" t="str">
        <f t="shared" ref="F7:F14" si="2">IF(ABS(D7)&lt;=E7,"OK","FAIL")</f>
        <v>OK</v>
      </c>
      <c r="G7" s="11" t="s">
        <v>198</v>
      </c>
    </row>
    <row r="8">
      <c r="A8" s="11" t="s">
        <v>199</v>
      </c>
      <c r="B8" s="45">
        <f>ABS('3 Statements'!C19-'3 Statements'!C44)+ABS('3 Statements'!D19-'3 Statements'!D44)+ABS('3 Statements'!E19-'3 Statements'!E44)+ABS('3 Statements'!F19-'3 Statements'!F44)+ABS('3 Statements'!G19-'3 Statements'!G44)+ABS('3 Statements'!H19-'3 Statements'!H44)+ABS('3 Statements'!I19-'3 Statements'!I44)+ABS('3 Statements'!J19-'3 Statements'!J44)+ABS('3 Statements'!K19-'3 Statements'!K44)+ABS('3 Statements'!L19-'3 Statements'!L44)+ABS('3 Statements'!M19-'3 Statements'!M44)+ABS('3 Statements'!N19-'3 Statements'!N44)</f>
        <v>0</v>
      </c>
      <c r="C8" s="45">
        <v>0.0</v>
      </c>
      <c r="D8" s="45">
        <f t="shared" si="1"/>
        <v>0</v>
      </c>
      <c r="E8" s="45">
        <v>1.0</v>
      </c>
      <c r="F8" s="11" t="str">
        <f t="shared" si="2"/>
        <v>OK</v>
      </c>
      <c r="G8" s="11" t="s">
        <v>200</v>
      </c>
    </row>
    <row r="9">
      <c r="A9" s="11" t="s">
        <v>201</v>
      </c>
      <c r="B9" s="45">
        <f>SUM(Assumptions!F20:F22)</f>
        <v>1</v>
      </c>
      <c r="C9" s="45">
        <v>1.0</v>
      </c>
      <c r="D9" s="45">
        <f t="shared" si="1"/>
        <v>0</v>
      </c>
      <c r="E9" s="45">
        <v>1.0E-4</v>
      </c>
      <c r="F9" s="11" t="str">
        <f t="shared" si="2"/>
        <v>OK</v>
      </c>
      <c r="G9" s="11" t="s">
        <v>202</v>
      </c>
    </row>
    <row r="10">
      <c r="A10" s="11" t="s">
        <v>203</v>
      </c>
      <c r="B10" s="45">
        <f>IF(OR(Assumptions!B4="Base",Assumptions!B4="Upside",Assumptions!B4="Downside"),1,0)</f>
        <v>1</v>
      </c>
      <c r="C10" s="45">
        <v>1.0</v>
      </c>
      <c r="D10" s="45">
        <f t="shared" si="1"/>
        <v>0</v>
      </c>
      <c r="E10" s="45">
        <v>0.0</v>
      </c>
      <c r="F10" s="11" t="str">
        <f t="shared" si="2"/>
        <v>OK</v>
      </c>
      <c r="G10" s="11" t="s">
        <v>204</v>
      </c>
    </row>
    <row r="11">
      <c r="A11" s="11" t="s">
        <v>205</v>
      </c>
      <c r="B11" s="45">
        <f>IF(MIN(Inventory!C11:N11,Inventory!C20:N20,Inventory!C29:N29)&gt;=0,0,1)</f>
        <v>0</v>
      </c>
      <c r="C11" s="45">
        <v>0.0</v>
      </c>
      <c r="D11" s="45">
        <f t="shared" si="1"/>
        <v>0</v>
      </c>
      <c r="E11" s="45">
        <v>0.0</v>
      </c>
      <c r="F11" s="11" t="str">
        <f t="shared" si="2"/>
        <v>OK</v>
      </c>
      <c r="G11" s="11" t="s">
        <v>206</v>
      </c>
    </row>
    <row r="12">
      <c r="A12" s="11" t="s">
        <v>207</v>
      </c>
      <c r="B12" s="45">
        <f>IF(AND(MIN('3 Statements'!C10:N10)&gt;=0,MAX('3 Statements'!C10:N10)&lt;=1),1,0)</f>
        <v>1</v>
      </c>
      <c r="C12" s="45">
        <v>1.0</v>
      </c>
      <c r="D12" s="45">
        <f t="shared" si="1"/>
        <v>0</v>
      </c>
      <c r="E12" s="45">
        <v>0.0</v>
      </c>
      <c r="F12" s="11" t="str">
        <f t="shared" si="2"/>
        <v>OK</v>
      </c>
      <c r="G12" s="11" t="s">
        <v>208</v>
      </c>
    </row>
    <row r="13">
      <c r="A13" s="11" t="s">
        <v>209</v>
      </c>
      <c r="B13" s="45">
        <f>IF(MIN('3 Statements'!C44:N44)&gt;=Assumptions!B29,1,0)</f>
        <v>1</v>
      </c>
      <c r="C13" s="45">
        <v>1.0</v>
      </c>
      <c r="D13" s="45">
        <f t="shared" si="1"/>
        <v>0</v>
      </c>
      <c r="E13" s="45">
        <v>0.0</v>
      </c>
      <c r="F13" s="11" t="str">
        <f t="shared" si="2"/>
        <v>OK</v>
      </c>
      <c r="G13" s="11" t="s">
        <v>210</v>
      </c>
    </row>
    <row r="14">
      <c r="A14" s="11" t="s">
        <v>211</v>
      </c>
      <c r="B14" s="45">
        <f>ABS(Revenue!C42-Revenue!C40-Revenue!C41)+ABS(Revenue!D42-Revenue!D40-Revenue!D41)+ABS(Revenue!E42-Revenue!E40-Revenue!E41)+ABS(Revenue!F42-Revenue!F40-Revenue!F41)+ABS(Revenue!G42-Revenue!G40-Revenue!G41)+ABS(Revenue!H42-Revenue!H40-Revenue!H41)+ABS(Revenue!I42-Revenue!I40-Revenue!I41)+ABS(Revenue!J42-Revenue!J40-Revenue!J41)+ABS(Revenue!K42-Revenue!K40-Revenue!K41)+ABS(Revenue!L42-Revenue!L40-Revenue!L41)+ABS(Revenue!M42-Revenue!M40-Revenue!M41)+ABS(Revenue!N42-Revenue!N40-Revenue!N41)</f>
        <v>0.0000000001691660145</v>
      </c>
      <c r="C14" s="45">
        <v>0.0</v>
      </c>
      <c r="D14" s="45">
        <f t="shared" si="1"/>
        <v>0.0000000001691660145</v>
      </c>
      <c r="E14" s="45">
        <v>1.0</v>
      </c>
      <c r="F14" s="11" t="str">
        <f t="shared" si="2"/>
        <v>OK</v>
      </c>
      <c r="G14" s="11" t="s">
        <v>212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N1"/>
    <mergeCell ref="A2:N2"/>
  </mergeCells>
  <conditionalFormatting sqref="F7:F14">
    <cfRule type="expression" dxfId="0" priority="1">
      <formula>F7="OK"</formula>
    </cfRule>
  </conditionalFormatting>
  <conditionalFormatting sqref="F7:F14">
    <cfRule type="expression" dxfId="1" priority="2">
      <formula>F7="FAIL"</formula>
    </cfRule>
  </conditionalFormatting>
  <printOptions/>
  <pageMargins bottom="0.75" footer="0.0" header="0.0" left="0.7" right="0.7" top="0.75"/>
  <pageSetup orientation="landscape"/>
  <drawing r:id="rId1"/>
</worksheet>
</file>